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720" windowWidth="20376" windowHeight="10320" activeTab="2"/>
  </bookViews>
  <sheets>
    <sheet name="F&amp;GP" sheetId="2" r:id="rId1"/>
    <sheet name="H&amp;OS" sheetId="1" r:id="rId2"/>
    <sheet name="PR&amp;M" sheetId="3" r:id="rId3"/>
    <sheet name="Council" sheetId="4" r:id="rId4"/>
  </sheets>
  <definedNames>
    <definedName name="_xlnm.Print_Area" localSheetId="3">Council!$A$1:$P$17</definedName>
    <definedName name="_xlnm.Print_Area" localSheetId="0">'F&amp;GP'!$A$1:$X$48</definedName>
    <definedName name="_xlnm.Print_Area" localSheetId="1">'H&amp;OS'!$A$1:$X$39</definedName>
    <definedName name="_xlnm.Print_Area" localSheetId="2">'PR&amp;M'!$A$1:$X$22</definedName>
  </definedNames>
  <calcPr calcId="145621"/>
</workbook>
</file>

<file path=xl/calcChain.xml><?xml version="1.0" encoding="utf-8"?>
<calcChain xmlns="http://schemas.openxmlformats.org/spreadsheetml/2006/main">
  <c r="S11" i="2" l="1"/>
  <c r="S5" i="2"/>
  <c r="S29" i="2" l="1"/>
  <c r="S22" i="2"/>
  <c r="G29" i="2"/>
  <c r="T33" i="1" l="1"/>
  <c r="S27" i="2"/>
  <c r="S23" i="2" l="1"/>
  <c r="S16" i="2"/>
  <c r="S38" i="2" l="1"/>
  <c r="S23" i="1" l="1"/>
  <c r="S7" i="3"/>
  <c r="T8" i="2"/>
  <c r="T9" i="2"/>
  <c r="R15" i="3" l="1"/>
  <c r="R16" i="2" l="1"/>
  <c r="R29" i="2" l="1"/>
  <c r="R16" i="3"/>
  <c r="R31" i="1" l="1"/>
  <c r="R23" i="1"/>
  <c r="R23" i="2" l="1"/>
  <c r="W41" i="2"/>
  <c r="T41" i="2"/>
  <c r="R7" i="3"/>
  <c r="R16" i="1"/>
  <c r="T6" i="1" l="1"/>
  <c r="W6" i="1" s="1"/>
  <c r="Q29" i="2" l="1"/>
  <c r="T7" i="3"/>
  <c r="T6" i="3"/>
  <c r="Q23" i="2"/>
  <c r="Q7" i="3"/>
  <c r="Q16" i="2" l="1"/>
  <c r="T7" i="1"/>
  <c r="W7" i="1" s="1"/>
  <c r="Q23" i="1" l="1"/>
  <c r="Q16" i="1" l="1"/>
  <c r="Q18" i="1" l="1"/>
  <c r="N16" i="2" l="1"/>
  <c r="N29" i="2" l="1"/>
  <c r="N23" i="1"/>
  <c r="N31" i="1"/>
  <c r="N35" i="1"/>
  <c r="N16" i="1"/>
  <c r="N23" i="2"/>
  <c r="M18" i="1" l="1"/>
  <c r="M23" i="2" l="1"/>
  <c r="M16" i="2"/>
  <c r="M29" i="2" l="1"/>
  <c r="M30" i="1"/>
  <c r="M29" i="1" l="1"/>
  <c r="M23" i="1"/>
  <c r="L29" i="2" l="1"/>
  <c r="L22" i="2"/>
  <c r="L18" i="1"/>
  <c r="L19" i="1"/>
  <c r="L14" i="1"/>
  <c r="L23" i="2"/>
  <c r="L16" i="2" l="1"/>
  <c r="L29" i="1"/>
  <c r="L33" i="1"/>
  <c r="O33" i="1" l="1"/>
  <c r="W33" i="1" s="1"/>
  <c r="O6" i="3"/>
  <c r="O7" i="3"/>
  <c r="L7" i="3"/>
  <c r="I16" i="1" l="1"/>
  <c r="I23" i="2"/>
  <c r="I20" i="2"/>
  <c r="I16" i="2"/>
  <c r="I29" i="2" l="1"/>
  <c r="I30" i="1"/>
  <c r="I29" i="1"/>
  <c r="I18" i="1"/>
  <c r="J34" i="2"/>
  <c r="W34" i="2" s="1"/>
  <c r="I7" i="3" l="1"/>
  <c r="J9" i="2"/>
  <c r="W9" i="2" s="1"/>
  <c r="W6" i="3" l="1"/>
  <c r="J6" i="3"/>
  <c r="I23" i="1" l="1"/>
  <c r="W42" i="2"/>
  <c r="J42" i="2"/>
  <c r="H29" i="2" l="1"/>
  <c r="H30" i="1"/>
  <c r="H18" i="1"/>
  <c r="H35" i="1"/>
  <c r="H23" i="2"/>
  <c r="H7" i="3"/>
  <c r="H16" i="2" l="1"/>
  <c r="H23" i="1" l="1"/>
  <c r="H29" i="1" l="1"/>
  <c r="J8" i="2" l="1"/>
  <c r="W8" i="2" s="1"/>
  <c r="G18" i="1" l="1"/>
  <c r="G23" i="2"/>
  <c r="G16" i="2"/>
  <c r="G29" i="1" l="1"/>
  <c r="J18" i="3"/>
  <c r="W18" i="3" s="1"/>
  <c r="E18" i="3"/>
  <c r="D35" i="1" l="1"/>
  <c r="D18" i="1"/>
  <c r="D29" i="2" l="1"/>
  <c r="D22" i="2"/>
  <c r="D16" i="2" l="1"/>
  <c r="D31" i="1" l="1"/>
  <c r="D16" i="1"/>
  <c r="D29" i="1"/>
  <c r="D7" i="3" l="1"/>
  <c r="D16" i="3"/>
  <c r="C29" i="2" l="1"/>
  <c r="C23" i="2"/>
  <c r="C14" i="1"/>
  <c r="C19" i="1"/>
  <c r="C7" i="3"/>
  <c r="C16" i="2" l="1"/>
  <c r="C18" i="1" l="1"/>
  <c r="C30" i="1"/>
  <c r="C29" i="1"/>
  <c r="C23" i="1"/>
  <c r="C35" i="1" l="1"/>
  <c r="B29" i="1" l="1"/>
  <c r="B30" i="1"/>
  <c r="B23" i="1"/>
  <c r="B23" i="2" l="1"/>
  <c r="B29" i="2"/>
  <c r="B31" i="1" l="1"/>
  <c r="B20" i="2"/>
  <c r="B18" i="1"/>
  <c r="B16" i="1"/>
  <c r="B16" i="2" l="1"/>
  <c r="E37" i="2" l="1"/>
  <c r="E38" i="2"/>
  <c r="B21" i="2"/>
  <c r="W45" i="2" l="1"/>
  <c r="T45" i="2"/>
  <c r="O45" i="2"/>
  <c r="J45" i="2"/>
  <c r="G48" i="2"/>
  <c r="J38" i="2"/>
  <c r="J36" i="2"/>
  <c r="O36" i="2"/>
  <c r="O38" i="2"/>
  <c r="T38" i="2"/>
  <c r="T36" i="2"/>
  <c r="E45" i="2"/>
  <c r="E36" i="2"/>
  <c r="W38" i="2" l="1"/>
  <c r="W36" i="2"/>
  <c r="J19" i="3"/>
  <c r="J14" i="3"/>
  <c r="T14" i="3"/>
  <c r="O19" i="3"/>
  <c r="O20" i="3"/>
  <c r="O14" i="3"/>
  <c r="T19" i="3"/>
  <c r="E19" i="3"/>
  <c r="X48" i="2"/>
  <c r="T44" i="2"/>
  <c r="T30" i="2"/>
  <c r="T28" i="2"/>
  <c r="O44" i="2"/>
  <c r="O30" i="2"/>
  <c r="O28" i="2"/>
  <c r="J44" i="2"/>
  <c r="E44" i="2"/>
  <c r="J30" i="2"/>
  <c r="J28" i="2"/>
  <c r="E30" i="2"/>
  <c r="W19" i="3" l="1"/>
  <c r="W44" i="2"/>
  <c r="W30" i="2"/>
  <c r="T37" i="1"/>
  <c r="O37" i="1"/>
  <c r="J37" i="1"/>
  <c r="E37" i="1"/>
  <c r="T29" i="1"/>
  <c r="O29" i="1"/>
  <c r="J29" i="1"/>
  <c r="E29" i="1"/>
  <c r="T27" i="1"/>
  <c r="O27" i="1"/>
  <c r="J27" i="1"/>
  <c r="E27" i="1"/>
  <c r="T18" i="1"/>
  <c r="O18" i="1"/>
  <c r="J18" i="1"/>
  <c r="J19" i="1"/>
  <c r="E18" i="1"/>
  <c r="T16" i="1"/>
  <c r="O16" i="1"/>
  <c r="O14" i="1"/>
  <c r="J16" i="1"/>
  <c r="E8" i="1"/>
  <c r="J8" i="1"/>
  <c r="T8" i="1"/>
  <c r="E39" i="2"/>
  <c r="J39" i="2"/>
  <c r="O39" i="2"/>
  <c r="W27" i="1" l="1"/>
  <c r="W37" i="1"/>
  <c r="W18" i="1"/>
  <c r="W29" i="1"/>
  <c r="T39" i="2"/>
  <c r="W39" i="2" s="1"/>
  <c r="T20" i="3" l="1"/>
  <c r="O8" i="1" l="1"/>
  <c r="W8" i="1" s="1"/>
  <c r="M39" i="1" l="1"/>
  <c r="I39" i="1" l="1"/>
  <c r="I48" i="2"/>
  <c r="I13" i="2"/>
  <c r="I9" i="3" l="1"/>
  <c r="J20" i="3" l="1"/>
  <c r="J7" i="3" l="1"/>
  <c r="E20" i="3" l="1"/>
  <c r="W20" i="3" s="1"/>
  <c r="E7" i="3" l="1"/>
  <c r="W7" i="3" s="1"/>
  <c r="E28" i="2" l="1"/>
  <c r="W28" i="2" s="1"/>
  <c r="B13" i="2" l="1"/>
  <c r="E16" i="1" l="1"/>
  <c r="W16" i="1" s="1"/>
  <c r="B48" i="2"/>
  <c r="E14" i="3" l="1"/>
  <c r="W14" i="3" s="1"/>
  <c r="X39" i="1" l="1"/>
  <c r="X10" i="1"/>
  <c r="T30" i="1"/>
  <c r="T31" i="1"/>
  <c r="T32" i="1"/>
  <c r="T34" i="1"/>
  <c r="T35" i="1"/>
  <c r="O23" i="1"/>
  <c r="O24" i="1"/>
  <c r="O25" i="1"/>
  <c r="O30" i="1"/>
  <c r="O31" i="1"/>
  <c r="O32" i="1"/>
  <c r="O34" i="1"/>
  <c r="O35" i="1"/>
  <c r="J30" i="1"/>
  <c r="J31" i="1"/>
  <c r="J32" i="1"/>
  <c r="J34" i="1"/>
  <c r="J35" i="1"/>
  <c r="E30" i="1"/>
  <c r="E31" i="1"/>
  <c r="E32" i="1"/>
  <c r="E34" i="1"/>
  <c r="E35" i="1"/>
  <c r="E14" i="1"/>
  <c r="R39" i="1"/>
  <c r="J33" i="2"/>
  <c r="E33" i="2"/>
  <c r="R13" i="2"/>
  <c r="W31" i="1" l="1"/>
  <c r="W34" i="1"/>
  <c r="W30" i="1"/>
  <c r="W35" i="1"/>
  <c r="W32" i="1"/>
  <c r="R48" i="2"/>
  <c r="Q48" i="2"/>
  <c r="T33" i="2" l="1"/>
  <c r="T20" i="1" l="1"/>
  <c r="E20" i="1"/>
  <c r="J20" i="1"/>
  <c r="O20" i="1"/>
  <c r="W20" i="1" l="1"/>
  <c r="B9" i="3" l="1"/>
  <c r="D10" i="1"/>
  <c r="F10" i="1"/>
  <c r="G10" i="1"/>
  <c r="H10" i="1"/>
  <c r="I10" i="1"/>
  <c r="K10" i="1"/>
  <c r="L10" i="1"/>
  <c r="M10" i="1"/>
  <c r="N10" i="1"/>
  <c r="P10" i="1"/>
  <c r="Q10" i="1"/>
  <c r="R10" i="1"/>
  <c r="S10" i="1"/>
  <c r="U10" i="1"/>
  <c r="B10" i="1"/>
  <c r="D13" i="2"/>
  <c r="F13" i="2"/>
  <c r="G13" i="2"/>
  <c r="H13" i="2"/>
  <c r="K13" i="2"/>
  <c r="L13" i="2"/>
  <c r="M13" i="2"/>
  <c r="N13" i="2"/>
  <c r="P13" i="2"/>
  <c r="Q13" i="2"/>
  <c r="S13" i="2"/>
  <c r="U13" i="2"/>
  <c r="V13" i="2"/>
  <c r="O33" i="2"/>
  <c r="W33" i="2" s="1"/>
  <c r="P39" i="1" l="1"/>
  <c r="G39" i="1" l="1"/>
  <c r="T25" i="1" l="1"/>
  <c r="J25" i="1"/>
  <c r="E25" i="1"/>
  <c r="W25" i="1" l="1"/>
  <c r="C13" i="2" l="1"/>
  <c r="C10" i="1"/>
  <c r="T5" i="1"/>
  <c r="O5" i="1"/>
  <c r="J5" i="1"/>
  <c r="E5" i="1"/>
  <c r="W5" i="1" l="1"/>
  <c r="E4" i="2"/>
  <c r="B39" i="1"/>
  <c r="G22" i="3" l="1"/>
  <c r="H22" i="3"/>
  <c r="I22" i="3"/>
  <c r="K22" i="3"/>
  <c r="L22" i="3"/>
  <c r="M22" i="3"/>
  <c r="N22" i="3"/>
  <c r="P22" i="3"/>
  <c r="Q22" i="3"/>
  <c r="R22" i="3"/>
  <c r="S22" i="3"/>
  <c r="U22" i="3"/>
  <c r="C22" i="3"/>
  <c r="D22" i="3"/>
  <c r="B22" i="3"/>
  <c r="F22" i="3"/>
  <c r="X22" i="3"/>
  <c r="E5" i="2" l="1"/>
  <c r="J4" i="2"/>
  <c r="O4" i="2"/>
  <c r="T4" i="2"/>
  <c r="J5" i="2"/>
  <c r="O5" i="2"/>
  <c r="T5" i="2"/>
  <c r="E6" i="2"/>
  <c r="J6" i="2"/>
  <c r="O6" i="2"/>
  <c r="T6" i="2"/>
  <c r="E7" i="2"/>
  <c r="J7" i="2"/>
  <c r="O7" i="2"/>
  <c r="T7" i="2"/>
  <c r="E10" i="2"/>
  <c r="J10" i="2"/>
  <c r="O10" i="2"/>
  <c r="T10" i="2"/>
  <c r="E11" i="2"/>
  <c r="J11" i="2"/>
  <c r="O11" i="2"/>
  <c r="T11" i="2"/>
  <c r="X13" i="2"/>
  <c r="E16" i="2"/>
  <c r="J16" i="2"/>
  <c r="O16" i="2"/>
  <c r="T16" i="2"/>
  <c r="E17" i="2"/>
  <c r="J17" i="2"/>
  <c r="O17" i="2"/>
  <c r="T17" i="2"/>
  <c r="E18" i="2"/>
  <c r="J18" i="2"/>
  <c r="O18" i="2"/>
  <c r="T18" i="2"/>
  <c r="E19" i="2"/>
  <c r="J19" i="2"/>
  <c r="O19" i="2"/>
  <c r="T19" i="2"/>
  <c r="E20" i="2"/>
  <c r="J20" i="2"/>
  <c r="O20" i="2"/>
  <c r="T20" i="2"/>
  <c r="E21" i="2"/>
  <c r="J21" i="2"/>
  <c r="O21" i="2"/>
  <c r="T21" i="2"/>
  <c r="E22" i="2"/>
  <c r="J22" i="2"/>
  <c r="O22" i="2"/>
  <c r="T22" i="2"/>
  <c r="E23" i="2"/>
  <c r="J23" i="2"/>
  <c r="O23" i="2"/>
  <c r="T23" i="2"/>
  <c r="E24" i="2"/>
  <c r="J24" i="2"/>
  <c r="O24" i="2"/>
  <c r="T24" i="2"/>
  <c r="E25" i="2"/>
  <c r="J25" i="2"/>
  <c r="O25" i="2"/>
  <c r="T25" i="2"/>
  <c r="E26" i="2"/>
  <c r="J26" i="2"/>
  <c r="O26" i="2"/>
  <c r="T26" i="2"/>
  <c r="E27" i="2"/>
  <c r="J27" i="2"/>
  <c r="O27" i="2"/>
  <c r="T27" i="2"/>
  <c r="E29" i="2"/>
  <c r="J29" i="2"/>
  <c r="O29" i="2"/>
  <c r="T29" i="2"/>
  <c r="E32" i="2"/>
  <c r="J32" i="2"/>
  <c r="O32" i="2"/>
  <c r="T32" i="2"/>
  <c r="E35" i="2"/>
  <c r="J35" i="2"/>
  <c r="O35" i="2"/>
  <c r="T35" i="2"/>
  <c r="E40" i="2"/>
  <c r="J40" i="2"/>
  <c r="O40" i="2"/>
  <c r="T40" i="2"/>
  <c r="E43" i="2"/>
  <c r="J43" i="2"/>
  <c r="O43" i="2"/>
  <c r="T43" i="2"/>
  <c r="E46" i="2"/>
  <c r="J46" i="2"/>
  <c r="O46" i="2"/>
  <c r="T46" i="2"/>
  <c r="C48" i="2"/>
  <c r="D48" i="2"/>
  <c r="F48" i="2"/>
  <c r="H48" i="2"/>
  <c r="K48" i="2"/>
  <c r="L48" i="2"/>
  <c r="M48" i="2"/>
  <c r="N48" i="2"/>
  <c r="P48" i="2"/>
  <c r="S48" i="2"/>
  <c r="U48" i="2"/>
  <c r="O13" i="2" l="1"/>
  <c r="O48" i="2"/>
  <c r="E13" i="2"/>
  <c r="E48" i="2"/>
  <c r="J13" i="2"/>
  <c r="T13" i="2"/>
  <c r="W25" i="2"/>
  <c r="W11" i="2"/>
  <c r="W20" i="2"/>
  <c r="W43" i="2"/>
  <c r="W40" i="2"/>
  <c r="W35" i="2"/>
  <c r="W32" i="2"/>
  <c r="W29" i="2"/>
  <c r="W23" i="2"/>
  <c r="W22" i="2"/>
  <c r="T48" i="2"/>
  <c r="W7" i="2"/>
  <c r="W26" i="2"/>
  <c r="W19" i="2"/>
  <c r="W18" i="2"/>
  <c r="W6" i="2"/>
  <c r="W5" i="2"/>
  <c r="W4" i="2"/>
  <c r="W21" i="2"/>
  <c r="W46" i="2"/>
  <c r="W27" i="2"/>
  <c r="W17" i="2"/>
  <c r="W10" i="2"/>
  <c r="W24" i="2"/>
  <c r="W16" i="2"/>
  <c r="J48" i="2"/>
  <c r="W48" i="2" l="1"/>
  <c r="W13" i="2"/>
  <c r="N39" i="1" l="1"/>
  <c r="M9" i="3"/>
  <c r="L9" i="3"/>
  <c r="J5" i="3" l="1"/>
  <c r="L39" i="1" l="1"/>
  <c r="D9" i="3" l="1"/>
  <c r="T5" i="3" l="1"/>
  <c r="O5" i="3"/>
  <c r="E5" i="3"/>
  <c r="W5" i="3" l="1"/>
  <c r="F39" i="1" l="1"/>
  <c r="H39" i="1"/>
  <c r="K39" i="1"/>
  <c r="J15" i="4"/>
  <c r="Q39" i="1"/>
  <c r="S39" i="1"/>
  <c r="U39" i="1"/>
  <c r="M15" i="4" s="1"/>
  <c r="C39" i="1"/>
  <c r="D39" i="1"/>
  <c r="P16" i="4"/>
  <c r="E13" i="3"/>
  <c r="E15" i="3"/>
  <c r="E16" i="3"/>
  <c r="J13" i="3"/>
  <c r="J15" i="3"/>
  <c r="J16" i="3"/>
  <c r="O13" i="3"/>
  <c r="O15" i="3"/>
  <c r="O16" i="3"/>
  <c r="T13" i="3"/>
  <c r="T15" i="3"/>
  <c r="T16" i="3"/>
  <c r="T24" i="1"/>
  <c r="T23" i="1"/>
  <c r="T22" i="1"/>
  <c r="T21" i="1"/>
  <c r="T19" i="1"/>
  <c r="T15" i="1"/>
  <c r="T14" i="1"/>
  <c r="T4" i="1"/>
  <c r="O22" i="1"/>
  <c r="O21" i="1"/>
  <c r="O19" i="1"/>
  <c r="O15" i="1"/>
  <c r="O4" i="1"/>
  <c r="J24" i="1"/>
  <c r="J23" i="1"/>
  <c r="J22" i="1"/>
  <c r="J21" i="1"/>
  <c r="J15" i="1"/>
  <c r="J14" i="1"/>
  <c r="J4" i="1"/>
  <c r="E24" i="1"/>
  <c r="E23" i="1"/>
  <c r="E22" i="1"/>
  <c r="E21" i="1"/>
  <c r="E19" i="1"/>
  <c r="E15" i="1"/>
  <c r="E4" i="1"/>
  <c r="M8" i="4"/>
  <c r="J8" i="4"/>
  <c r="G8" i="4"/>
  <c r="P8" i="4"/>
  <c r="J7" i="4"/>
  <c r="G7" i="4"/>
  <c r="D7" i="4"/>
  <c r="J14" i="4"/>
  <c r="G14" i="4"/>
  <c r="D14" i="4"/>
  <c r="P14" i="4"/>
  <c r="M7" i="4"/>
  <c r="P7" i="4"/>
  <c r="U9" i="3"/>
  <c r="M9" i="4" s="1"/>
  <c r="S9" i="3"/>
  <c r="Q9" i="3"/>
  <c r="R9" i="3"/>
  <c r="M14" i="4"/>
  <c r="E12" i="3"/>
  <c r="J12" i="3"/>
  <c r="O12" i="3"/>
  <c r="T12" i="3"/>
  <c r="E17" i="3"/>
  <c r="J17" i="3"/>
  <c r="O17" i="3"/>
  <c r="T17" i="3"/>
  <c r="M16" i="4"/>
  <c r="J16" i="4"/>
  <c r="G16" i="4"/>
  <c r="D16" i="4"/>
  <c r="P15" i="4"/>
  <c r="X9" i="3"/>
  <c r="P9" i="4" s="1"/>
  <c r="E4" i="3"/>
  <c r="E9" i="3" s="1"/>
  <c r="J4" i="3"/>
  <c r="J9" i="3" s="1"/>
  <c r="F9" i="4" s="1"/>
  <c r="O4" i="3"/>
  <c r="T4" i="3"/>
  <c r="T9" i="3" s="1"/>
  <c r="L9" i="4" s="1"/>
  <c r="P9" i="3"/>
  <c r="J9" i="4" s="1"/>
  <c r="K9" i="3"/>
  <c r="G9" i="4" s="1"/>
  <c r="F9" i="3"/>
  <c r="D9" i="4" s="1"/>
  <c r="N9" i="3"/>
  <c r="H9" i="3"/>
  <c r="G9" i="3"/>
  <c r="C9" i="3"/>
  <c r="G15" i="4" l="1"/>
  <c r="E10" i="1"/>
  <c r="O10" i="1"/>
  <c r="I8" i="4" s="1"/>
  <c r="E39" i="1"/>
  <c r="C15" i="4" s="1"/>
  <c r="E22" i="3"/>
  <c r="C16" i="4" s="1"/>
  <c r="C8" i="4"/>
  <c r="J10" i="1"/>
  <c r="F8" i="4" s="1"/>
  <c r="T10" i="1"/>
  <c r="L8" i="4" s="1"/>
  <c r="O39" i="1"/>
  <c r="I15" i="4" s="1"/>
  <c r="J39" i="1"/>
  <c r="F15" i="4" s="1"/>
  <c r="T22" i="3"/>
  <c r="L16" i="4" s="1"/>
  <c r="J22" i="3"/>
  <c r="F16" i="4" s="1"/>
  <c r="O22" i="3"/>
  <c r="I16" i="4" s="1"/>
  <c r="W4" i="3"/>
  <c r="W17" i="3"/>
  <c r="C9" i="4"/>
  <c r="D8" i="4"/>
  <c r="D10" i="4" s="1"/>
  <c r="D15" i="4"/>
  <c r="D17" i="4" s="1"/>
  <c r="W4" i="1"/>
  <c r="W15" i="1"/>
  <c r="W19" i="1"/>
  <c r="W22" i="1"/>
  <c r="T39" i="1"/>
  <c r="L15" i="4" s="1"/>
  <c r="W23" i="1"/>
  <c r="W21" i="1"/>
  <c r="W14" i="1"/>
  <c r="W24" i="1"/>
  <c r="I14" i="4"/>
  <c r="I7" i="4"/>
  <c r="F14" i="4"/>
  <c r="L7" i="4"/>
  <c r="L14" i="4"/>
  <c r="C7" i="4"/>
  <c r="F7" i="4"/>
  <c r="C14" i="4"/>
  <c r="W12" i="3"/>
  <c r="W15" i="3"/>
  <c r="O9" i="3"/>
  <c r="I9" i="4" s="1"/>
  <c r="W16" i="3"/>
  <c r="W13" i="3"/>
  <c r="P10" i="4"/>
  <c r="M17" i="4"/>
  <c r="G17" i="4"/>
  <c r="G10" i="4"/>
  <c r="J17" i="4"/>
  <c r="M10" i="4"/>
  <c r="P17" i="4"/>
  <c r="J10" i="4"/>
  <c r="L17" i="4" l="1"/>
  <c r="F17" i="4"/>
  <c r="W10" i="1"/>
  <c r="O8" i="4" s="1"/>
  <c r="C17" i="4"/>
  <c r="C10" i="4"/>
  <c r="F10" i="4"/>
  <c r="W22" i="3"/>
  <c r="O16" i="4" s="1"/>
  <c r="W39" i="1"/>
  <c r="O15" i="4" s="1"/>
  <c r="L10" i="4"/>
  <c r="I17" i="4"/>
  <c r="I10" i="4"/>
  <c r="O14" i="4"/>
  <c r="O7" i="4"/>
  <c r="W9" i="3"/>
  <c r="O9" i="4" s="1"/>
  <c r="O10" i="4" l="1"/>
  <c r="O17" i="4"/>
</calcChain>
</file>

<file path=xl/sharedStrings.xml><?xml version="1.0" encoding="utf-8"?>
<sst xmlns="http://schemas.openxmlformats.org/spreadsheetml/2006/main" count="187" uniqueCount="120">
  <si>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</si>
  <si>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</si>
  <si>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</si>
  <si>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</si>
  <si>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</si>
  <si>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</si>
  <si>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</si>
  <si>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</si>
  <si>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</si>
  <si>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</si>
  <si>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</si>
  <si>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</si>
  <si>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</si>
  <si>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</si>
  <si>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</si>
  <si>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</si>
  <si>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</si>
  <si>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Q4 Total</t>
  </si>
  <si>
    <t>Precept</t>
  </si>
  <si>
    <t>VAT Repaid</t>
  </si>
  <si>
    <t>Whitebread Trust</t>
  </si>
  <si>
    <t>Wayleave payment</t>
  </si>
  <si>
    <t>Annual Budget</t>
  </si>
  <si>
    <t>Q2 Total Actual</t>
  </si>
  <si>
    <t>Q3 Total Actual</t>
  </si>
  <si>
    <t>Q1 Total Actual</t>
  </si>
  <si>
    <t>Annual Actual</t>
  </si>
  <si>
    <t>Payments</t>
  </si>
  <si>
    <t>Insurance</t>
  </si>
  <si>
    <t>External Audit</t>
  </si>
  <si>
    <t>Internal Audit</t>
  </si>
  <si>
    <t>Travel &amp; Training</t>
  </si>
  <si>
    <t>Subscriptions</t>
  </si>
  <si>
    <t>Office Electricity</t>
  </si>
  <si>
    <t>Equipment Testing</t>
  </si>
  <si>
    <t>Telephone &amp; Broadband</t>
  </si>
  <si>
    <t>British Legion &amp; Wreath</t>
  </si>
  <si>
    <t>Bugler</t>
  </si>
  <si>
    <t>Flag Raiser</t>
  </si>
  <si>
    <t>VAT</t>
  </si>
  <si>
    <t>Contingency</t>
  </si>
  <si>
    <t>Q4 Total Actual</t>
  </si>
  <si>
    <t>F&amp;GP</t>
  </si>
  <si>
    <t>H&amp;OS</t>
  </si>
  <si>
    <t>PR&amp;Mktg</t>
  </si>
  <si>
    <t>Actual</t>
  </si>
  <si>
    <t xml:space="preserve">Q1 Total </t>
  </si>
  <si>
    <t>Budget</t>
  </si>
  <si>
    <t>Q2 Total</t>
  </si>
  <si>
    <t>Q3 Total</t>
  </si>
  <si>
    <t>Annual Total</t>
  </si>
  <si>
    <t>Bank Interest</t>
  </si>
  <si>
    <t>Office Cleaning</t>
  </si>
  <si>
    <t>Section 137</t>
  </si>
  <si>
    <t>Adverts-Chatterbox</t>
  </si>
  <si>
    <t>Total Income</t>
  </si>
  <si>
    <t>Total Expenditure</t>
  </si>
  <si>
    <t>Web Contract</t>
  </si>
  <si>
    <t>Chatterbox - Print</t>
  </si>
  <si>
    <t>Chatterbox - Delivery</t>
  </si>
  <si>
    <t>Community Hub</t>
  </si>
  <si>
    <t>Expenditure</t>
  </si>
  <si>
    <t>Parish Calendar</t>
  </si>
  <si>
    <t>Post/Stationary/Printer/PC</t>
  </si>
  <si>
    <t>Parish Meeting</t>
  </si>
  <si>
    <t>Community Hub Consumables</t>
  </si>
  <si>
    <t>Community Hub Project</t>
  </si>
  <si>
    <t>BURIAL INCOME</t>
  </si>
  <si>
    <t>CEMETERY INSPECTION</t>
  </si>
  <si>
    <t>DOG BINS -             Emptying</t>
  </si>
  <si>
    <t>WHITEBREAD COPSE</t>
  </si>
  <si>
    <t>Chatterbox sales</t>
  </si>
  <si>
    <t>Clerks salary &amp; NI</t>
  </si>
  <si>
    <t>Office Repairs</t>
  </si>
  <si>
    <t>CEMETERY &amp; CHURCHYARD</t>
  </si>
  <si>
    <t>GRASS CUTTING</t>
  </si>
  <si>
    <t>VILLAGE Areas</t>
  </si>
  <si>
    <t xml:space="preserve">HALL CLOSE </t>
  </si>
  <si>
    <r>
      <t xml:space="preserve">INSPECTIONS - </t>
    </r>
    <r>
      <rPr>
        <sz val="10"/>
        <color indexed="8"/>
        <rFont val="Arial"/>
        <family val="2"/>
      </rPr>
      <t>Play Equipment + Maintenance</t>
    </r>
  </si>
  <si>
    <t>TREE MAINTENANCE</t>
  </si>
  <si>
    <t>OTHER EXPENDITURE</t>
  </si>
  <si>
    <t>TOTAL EXPENDITURE</t>
  </si>
  <si>
    <t>Defibrilator Maintenance</t>
  </si>
  <si>
    <t>REBATE - Grass Cutting</t>
  </si>
  <si>
    <r>
      <t xml:space="preserve">MAINTENANCE </t>
    </r>
    <r>
      <rPr>
        <sz val="8"/>
        <rFont val="Arial"/>
        <family val="2"/>
      </rPr>
      <t>Repairs,Trees Bin</t>
    </r>
  </si>
  <si>
    <r>
      <t xml:space="preserve">GRASS -   </t>
    </r>
    <r>
      <rPr>
        <sz val="10"/>
        <rFont val="Arial"/>
        <family val="2"/>
      </rPr>
      <t>Geeston &amp; Kelthorpe</t>
    </r>
  </si>
  <si>
    <r>
      <t xml:space="preserve">GRITTING -        </t>
    </r>
    <r>
      <rPr>
        <sz val="10"/>
        <color indexed="8"/>
        <rFont val="Arial"/>
        <family val="2"/>
      </rPr>
      <t>Bins &amp; Routes</t>
    </r>
  </si>
  <si>
    <r>
      <t xml:space="preserve">HANDYMEN  -  </t>
    </r>
    <r>
      <rPr>
        <sz val="10"/>
        <color indexed="8"/>
        <rFont val="Arial"/>
        <family val="2"/>
      </rPr>
      <t>General Works</t>
    </r>
  </si>
  <si>
    <r>
      <t xml:space="preserve">          -     </t>
    </r>
    <r>
      <rPr>
        <sz val="10"/>
        <color indexed="8"/>
        <rFont val="Arial"/>
        <family val="2"/>
      </rPr>
      <t>Maintenance &amp; Hedges</t>
    </r>
  </si>
  <si>
    <t xml:space="preserve">GRASS CUTTING  </t>
  </si>
  <si>
    <t>-   Maintenance  of Equipment</t>
  </si>
  <si>
    <r>
      <t>CHAIRMAN's</t>
    </r>
    <r>
      <rPr>
        <sz val="12"/>
        <rFont val="Arial"/>
        <family val="2"/>
      </rPr>
      <t xml:space="preserve"> -      </t>
    </r>
    <r>
      <rPr>
        <sz val="10"/>
        <rFont val="Arial"/>
        <family val="2"/>
      </rPr>
      <t>Contingency</t>
    </r>
  </si>
  <si>
    <t>Village Christmas tree</t>
  </si>
  <si>
    <t>Web Co-ordinator</t>
  </si>
  <si>
    <r>
      <t>KSA  -</t>
    </r>
    <r>
      <rPr>
        <sz val="11"/>
        <color indexed="8"/>
        <rFont val="Arial"/>
        <family val="2"/>
      </rPr>
      <t xml:space="preserve">   RENTS</t>
    </r>
    <r>
      <rPr>
        <sz val="10"/>
        <color indexed="8"/>
        <rFont val="Arial"/>
        <family val="2"/>
      </rPr>
      <t xml:space="preserve">  Hanson+ FPath</t>
    </r>
  </si>
  <si>
    <t>Others -  Fences &amp; Dog Control</t>
  </si>
  <si>
    <t>Data Protection Officer</t>
  </si>
  <si>
    <t>IT Trainer</t>
  </si>
  <si>
    <t>MOLES &amp; RABBITS</t>
  </si>
  <si>
    <t>Social Media Coodinator</t>
  </si>
  <si>
    <t>Election Costs</t>
  </si>
  <si>
    <t>Wall Build Leader</t>
  </si>
  <si>
    <t>Neighbourhood Plan</t>
  </si>
  <si>
    <t>School Fete stall</t>
  </si>
  <si>
    <t>KCFRG</t>
  </si>
  <si>
    <t>RNWA Donation</t>
  </si>
  <si>
    <t>Ceilidh</t>
  </si>
  <si>
    <t>KSCC Annual rent</t>
  </si>
  <si>
    <t>Bank charges</t>
  </si>
  <si>
    <t>Public Relations  &amp; Magazine 2019-20</t>
  </si>
  <si>
    <t>Finance &amp; General Purposes 2019-20</t>
  </si>
  <si>
    <t>Highways &amp; Open Spaces 2019-20</t>
  </si>
  <si>
    <t>NEW STORAGE CONTAINER</t>
  </si>
  <si>
    <t>Legal fees</t>
  </si>
  <si>
    <t>KHS Donation</t>
  </si>
  <si>
    <t>WBT Donation (container)</t>
  </si>
  <si>
    <t>Air Ambulance Donation</t>
  </si>
  <si>
    <r>
      <t xml:space="preserve">STREET LIGHTING -     </t>
    </r>
    <r>
      <rPr>
        <sz val="10"/>
        <color indexed="8"/>
        <rFont val="Arial"/>
        <family val="2"/>
      </rPr>
      <t>RCC</t>
    </r>
  </si>
  <si>
    <t>Community Street Lighting Recharge</t>
  </si>
  <si>
    <t>Summary 2019-20 End of Year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</si>
</sst>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  <numFmt numFmtId="166" formatCode="_-&quot;£&quot;* #,##0_-;\-&quot;£&quot;* #,##0_-;_-&quot;£&quot;* &quot;-&quot;??_-;_-@_-"/>
    <numFmt numFmtId="167" formatCode="_-&quot;£&quot;* #,##0.00_-;\-&quot;£&quot;* #,##0.00_-;_-&quot;£&quot;* &quot;-&quot;_-;_-@_-"/>
    <numFmt numFmtId="168" formatCode="_-&quot;£&quot;* #,##0.0_-;\-&quot;£&quot;* #,##0.0_-;_-&quot;£&quot;* &quot;-&quot;_-;_-@_-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2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2" fontId="0" fillId="0" borderId="0" xfId="0" applyNumberFormat="1"/>
    <xf numFmtId="42" fontId="3" fillId="0" borderId="0" xfId="0" applyNumberFormat="1" applyFont="1"/>
    <xf numFmtId="42" fontId="3" fillId="0" borderId="0" xfId="0" applyNumberFormat="1" applyFont="1" applyAlignment="1">
      <alignment wrapText="1"/>
    </xf>
    <xf numFmtId="42" fontId="2" fillId="0" borderId="0" xfId="0" applyNumberFormat="1" applyFont="1"/>
    <xf numFmtId="42" fontId="0" fillId="0" borderId="0" xfId="0" applyNumberFormat="1" applyAlignment="1">
      <alignment horizontal="right"/>
    </xf>
    <xf numFmtId="42" fontId="0" fillId="2" borderId="0" xfId="0" applyNumberFormat="1" applyFill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2" fontId="7" fillId="0" borderId="0" xfId="0" applyNumberFormat="1" applyFont="1" applyAlignment="1">
      <alignment wrapText="1"/>
    </xf>
    <xf numFmtId="42" fontId="8" fillId="0" borderId="0" xfId="0" applyNumberFormat="1" applyFont="1"/>
    <xf numFmtId="4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2" fontId="0" fillId="0" borderId="1" xfId="0" applyNumberFormat="1" applyBorder="1"/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 wrapText="1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4" fontId="0" fillId="0" borderId="0" xfId="0" applyNumberFormat="1"/>
    <xf numFmtId="42" fontId="7" fillId="0" borderId="0" xfId="0" applyNumberFormat="1" applyFont="1"/>
    <xf numFmtId="42" fontId="8" fillId="0" borderId="0" xfId="0" applyNumberFormat="1" applyFont="1" applyAlignment="1">
      <alignment horizontal="left"/>
    </xf>
    <xf numFmtId="42" fontId="0" fillId="0" borderId="0" xfId="0" applyNumberFormat="1" applyAlignment="1">
      <alignment horizontal="left"/>
    </xf>
    <xf numFmtId="42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164" fontId="0" fillId="0" borderId="0" xfId="0" applyNumberFormat="1"/>
    <xf numFmtId="5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6" fontId="0" fillId="0" borderId="0" xfId="0" applyNumberFormat="1"/>
    <xf numFmtId="166" fontId="0" fillId="2" borderId="0" xfId="0" applyNumberFormat="1" applyFill="1"/>
    <xf numFmtId="164" fontId="1" fillId="0" borderId="0" xfId="0" applyNumberFormat="1" applyFont="1"/>
    <xf numFmtId="167" fontId="0" fillId="0" borderId="1" xfId="0" applyNumberFormat="1" applyBorder="1"/>
    <xf numFmtId="165" fontId="1" fillId="0" borderId="0" xfId="0" applyNumberFormat="1" applyFont="1" applyAlignment="1">
      <alignment horizontal="left"/>
    </xf>
    <xf numFmtId="42" fontId="1" fillId="0" borderId="0" xfId="0" applyNumberFormat="1" applyFont="1"/>
    <xf numFmtId="168" fontId="0" fillId="0" borderId="0" xfId="0" applyNumberFormat="1"/>
    <xf numFmtId="167" fontId="0" fillId="0" borderId="0" xfId="0" applyNumberFormat="1"/>
    <xf numFmtId="164" fontId="9" fillId="0" borderId="0" xfId="0" applyNumberFormat="1" applyFont="1" applyAlignment="1">
      <alignment horizontal="left" vertical="center" wrapText="1" indent="1"/>
    </xf>
    <xf numFmtId="164" fontId="2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42" fontId="1" fillId="0" borderId="0" xfId="0" applyNumberFormat="1" applyFont="1" applyAlignment="1">
      <alignment horizontal="left"/>
    </xf>
    <xf numFmtId="5" fontId="6" fillId="0" borderId="0" xfId="0" applyNumberFormat="1" applyFont="1" applyAlignment="1">
      <alignment horizontal="left" vertical="center"/>
    </xf>
    <xf numFmtId="165" fontId="11" fillId="0" borderId="0" xfId="0" applyNumberFormat="1" applyFont="1" applyAlignment="1">
      <alignment horizontal="left"/>
    </xf>
    <xf numFmtId="5" fontId="1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 indent="1"/>
    </xf>
    <xf numFmtId="5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42" fontId="0" fillId="0" borderId="0" xfId="0" applyNumberFormat="1" applyFill="1"/>
    <xf numFmtId="42" fontId="5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topLeftCell="B1" zoomScale="80" zoomScaleNormal="80" workbookViewId="0">
      <selection activeCell="A2" sqref="A1:T1048576"/>
    </sheetView>
  </sheetViews>
  <sheetFormatPr defaultColWidth="8.90625" defaultRowHeight="15" x14ac:dyDescent="0.25"/>
  <cols>
    <col min="1" max="1" width="25.81640625" style="1" bestFit="1" customWidth="1"/>
    <col min="2" max="24" width="8.81640625" style="1" customWidth="1"/>
    <col min="25" max="25" width="12" style="1" customWidth="1"/>
    <col min="26" max="29" width="8.81640625" style="1" customWidth="1"/>
    <col min="30" max="30" width="8.90625" style="1"/>
    <col min="31" max="31" width="6.36328125" style="1" bestFit="1" customWidth="1"/>
    <col min="32" max="16384" width="8.90625" style="1"/>
  </cols>
  <sheetData>
    <row r="1" spans="1:29" ht="21" x14ac:dyDescent="0.4">
      <c r="A1" s="50" t="s">
        <v>110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8"/>
      <c r="Z1" s="8"/>
      <c r="AA1" s="8"/>
      <c r="AB1" s="8"/>
      <c r="AC1" s="8"/>
    </row>
    <row r="2" spans="1:29" ht="26.4" x14ac:dyDescent="0.25">
      <c r="B2" s="2" t="s">
        <v>1</v>
      </c>
      <c r="C2" s="2" t="s">
        <v>2</v>
      </c>
      <c r="D2" s="2" t="s">
        <v>3</v>
      </c>
      <c r="E2" s="3" t="s">
        <v>25</v>
      </c>
      <c r="F2" s="2" t="s">
        <v>13</v>
      </c>
      <c r="G2" s="2" t="s">
        <v>4</v>
      </c>
      <c r="H2" s="2" t="s">
        <v>5</v>
      </c>
      <c r="I2" s="2" t="s">
        <v>6</v>
      </c>
      <c r="J2" s="3" t="s">
        <v>23</v>
      </c>
      <c r="K2" s="2" t="s">
        <v>14</v>
      </c>
      <c r="L2" s="2" t="s">
        <v>7</v>
      </c>
      <c r="M2" s="2" t="s">
        <v>8</v>
      </c>
      <c r="N2" s="2" t="s">
        <v>9</v>
      </c>
      <c r="O2" s="3" t="s">
        <v>24</v>
      </c>
      <c r="P2" s="2" t="s">
        <v>15</v>
      </c>
      <c r="Q2" s="2" t="s">
        <v>10</v>
      </c>
      <c r="R2" s="2" t="s">
        <v>11</v>
      </c>
      <c r="S2" s="2" t="s">
        <v>12</v>
      </c>
      <c r="T2" s="11" t="s">
        <v>41</v>
      </c>
      <c r="U2" s="2" t="s">
        <v>16</v>
      </c>
      <c r="V2" s="2"/>
      <c r="W2" s="3" t="s">
        <v>26</v>
      </c>
      <c r="X2" s="3" t="s">
        <v>22</v>
      </c>
    </row>
    <row r="3" spans="1:29" ht="15.6" x14ac:dyDescent="0.3">
      <c r="A3" s="1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9" x14ac:dyDescent="0.25">
      <c r="A4" s="41" t="s">
        <v>18</v>
      </c>
      <c r="B4" s="1">
        <v>16770</v>
      </c>
      <c r="E4" s="6">
        <f>B4+C4+D4</f>
        <v>16770</v>
      </c>
      <c r="F4" s="6">
        <v>16770</v>
      </c>
      <c r="J4" s="6">
        <f t="shared" ref="J4:J11" si="0">G4+H4+I4</f>
        <v>0</v>
      </c>
      <c r="K4" s="6"/>
      <c r="O4" s="6">
        <f t="shared" ref="O4:O11" si="1">L4+M4+N4</f>
        <v>0</v>
      </c>
      <c r="P4" s="6"/>
      <c r="T4" s="6">
        <f t="shared" ref="T4:T11" si="2">Q4+R4+S4</f>
        <v>0</v>
      </c>
      <c r="U4" s="6"/>
      <c r="W4" s="6">
        <f>E4+J4+O4+T4</f>
        <v>16770</v>
      </c>
      <c r="X4" s="6">
        <v>16770</v>
      </c>
    </row>
    <row r="5" spans="1:29" x14ac:dyDescent="0.25">
      <c r="A5" s="32" t="s">
        <v>51</v>
      </c>
      <c r="C5" s="1">
        <v>9.1999999999999993</v>
      </c>
      <c r="D5" s="1">
        <v>9.52</v>
      </c>
      <c r="E5" s="6">
        <f>B5+C5+D5</f>
        <v>18.72</v>
      </c>
      <c r="F5" s="6">
        <v>25</v>
      </c>
      <c r="G5" s="1">
        <v>10.59</v>
      </c>
      <c r="H5" s="1">
        <v>15.65</v>
      </c>
      <c r="I5" s="1">
        <v>15.64</v>
      </c>
      <c r="J5" s="6">
        <f t="shared" si="0"/>
        <v>41.88</v>
      </c>
      <c r="K5" s="6">
        <v>25</v>
      </c>
      <c r="L5" s="1">
        <v>15.16</v>
      </c>
      <c r="M5" s="1">
        <v>14.05</v>
      </c>
      <c r="N5" s="1">
        <v>11.72</v>
      </c>
      <c r="O5" s="6">
        <f t="shared" si="1"/>
        <v>40.93</v>
      </c>
      <c r="P5" s="6">
        <v>25</v>
      </c>
      <c r="Q5" s="1">
        <v>12.11</v>
      </c>
      <c r="R5" s="1">
        <v>11.38</v>
      </c>
      <c r="S5" s="1">
        <f>9.91+9.91</f>
        <v>19.82</v>
      </c>
      <c r="T5" s="6">
        <f t="shared" si="2"/>
        <v>43.31</v>
      </c>
      <c r="U5" s="6">
        <v>25</v>
      </c>
      <c r="W5" s="6">
        <f t="shared" ref="W5:W11" si="3">E5+J5+O5+T5</f>
        <v>144.84</v>
      </c>
      <c r="X5" s="6">
        <v>100</v>
      </c>
    </row>
    <row r="6" spans="1:29" x14ac:dyDescent="0.25">
      <c r="A6" s="32" t="s">
        <v>19</v>
      </c>
      <c r="E6" s="6">
        <f t="shared" ref="E6:E11" si="4">B6+C6+D6</f>
        <v>0</v>
      </c>
      <c r="F6" s="6">
        <v>1250</v>
      </c>
      <c r="I6" s="1">
        <v>720.74</v>
      </c>
      <c r="J6" s="6">
        <f t="shared" si="0"/>
        <v>720.74</v>
      </c>
      <c r="K6" s="6">
        <v>1250</v>
      </c>
      <c r="O6" s="6">
        <f t="shared" si="1"/>
        <v>0</v>
      </c>
      <c r="P6" s="6">
        <v>1250</v>
      </c>
      <c r="Q6" s="1">
        <v>918.05</v>
      </c>
      <c r="S6" s="1">
        <v>222.5</v>
      </c>
      <c r="T6" s="6">
        <f t="shared" si="2"/>
        <v>1140.55</v>
      </c>
      <c r="U6" s="6">
        <v>1250</v>
      </c>
      <c r="W6" s="6">
        <f t="shared" si="3"/>
        <v>1861.29</v>
      </c>
      <c r="X6" s="6">
        <v>5000</v>
      </c>
    </row>
    <row r="7" spans="1:29" x14ac:dyDescent="0.25">
      <c r="A7" s="32" t="s">
        <v>20</v>
      </c>
      <c r="E7" s="6">
        <f t="shared" si="4"/>
        <v>0</v>
      </c>
      <c r="F7" s="6"/>
      <c r="J7" s="6">
        <f t="shared" si="0"/>
        <v>0</v>
      </c>
      <c r="K7" s="6"/>
      <c r="N7" s="1">
        <v>300</v>
      </c>
      <c r="O7" s="6">
        <f t="shared" si="1"/>
        <v>300</v>
      </c>
      <c r="P7" s="6">
        <v>300</v>
      </c>
      <c r="T7" s="6">
        <f t="shared" si="2"/>
        <v>0</v>
      </c>
      <c r="U7" s="6"/>
      <c r="W7" s="6">
        <f t="shared" si="3"/>
        <v>300</v>
      </c>
      <c r="X7" s="6">
        <v>300</v>
      </c>
    </row>
    <row r="8" spans="1:29" x14ac:dyDescent="0.25">
      <c r="A8" s="32" t="s">
        <v>104</v>
      </c>
      <c r="E8" s="6"/>
      <c r="F8" s="6"/>
      <c r="I8" s="1">
        <v>102.95</v>
      </c>
      <c r="J8" s="6">
        <f t="shared" si="0"/>
        <v>102.95</v>
      </c>
      <c r="K8" s="6"/>
      <c r="O8" s="6"/>
      <c r="P8" s="6"/>
      <c r="T8" s="6">
        <f t="shared" si="2"/>
        <v>0</v>
      </c>
      <c r="U8" s="6"/>
      <c r="W8" s="6">
        <f t="shared" si="3"/>
        <v>102.95</v>
      </c>
      <c r="X8" s="6"/>
    </row>
    <row r="9" spans="1:29" x14ac:dyDescent="0.25">
      <c r="A9" s="32" t="s">
        <v>107</v>
      </c>
      <c r="E9" s="6"/>
      <c r="F9" s="6"/>
      <c r="I9" s="1">
        <v>60</v>
      </c>
      <c r="J9" s="6">
        <f t="shared" si="0"/>
        <v>60</v>
      </c>
      <c r="K9" s="6"/>
      <c r="O9" s="6"/>
      <c r="P9" s="6"/>
      <c r="S9" s="1">
        <v>10</v>
      </c>
      <c r="T9" s="6">
        <f t="shared" si="2"/>
        <v>10</v>
      </c>
      <c r="U9" s="6"/>
      <c r="W9" s="6">
        <f t="shared" si="3"/>
        <v>70</v>
      </c>
      <c r="X9" s="6"/>
    </row>
    <row r="10" spans="1:29" x14ac:dyDescent="0.25">
      <c r="A10" s="32" t="s">
        <v>21</v>
      </c>
      <c r="E10" s="6">
        <f t="shared" si="4"/>
        <v>0</v>
      </c>
      <c r="F10" s="6"/>
      <c r="H10" s="1">
        <v>75.319999999999993</v>
      </c>
      <c r="J10" s="6">
        <f t="shared" si="0"/>
        <v>75.319999999999993</v>
      </c>
      <c r="K10" s="6">
        <v>75</v>
      </c>
      <c r="O10" s="6">
        <f t="shared" si="1"/>
        <v>0</v>
      </c>
      <c r="P10" s="6"/>
      <c r="T10" s="6">
        <f t="shared" si="2"/>
        <v>0</v>
      </c>
      <c r="U10" s="6"/>
      <c r="W10" s="6">
        <f t="shared" si="3"/>
        <v>75.319999999999993</v>
      </c>
      <c r="X10" s="6">
        <v>75</v>
      </c>
    </row>
    <row r="11" spans="1:29" x14ac:dyDescent="0.25">
      <c r="A11" s="32" t="s">
        <v>60</v>
      </c>
      <c r="B11" s="1">
        <v>50</v>
      </c>
      <c r="C11" s="1">
        <v>77.31</v>
      </c>
      <c r="D11" s="1">
        <v>59</v>
      </c>
      <c r="E11" s="6">
        <f t="shared" si="4"/>
        <v>186.31</v>
      </c>
      <c r="F11" s="6">
        <v>225</v>
      </c>
      <c r="G11" s="1">
        <v>69.5</v>
      </c>
      <c r="H11" s="1">
        <v>46.85</v>
      </c>
      <c r="I11" s="1">
        <v>92.5</v>
      </c>
      <c r="J11" s="6">
        <f t="shared" si="0"/>
        <v>208.85</v>
      </c>
      <c r="K11" s="6">
        <v>225</v>
      </c>
      <c r="L11" s="1">
        <v>77</v>
      </c>
      <c r="M11" s="1">
        <v>104.41</v>
      </c>
      <c r="N11" s="1">
        <v>71.349999999999994</v>
      </c>
      <c r="O11" s="6">
        <f t="shared" si="1"/>
        <v>252.76</v>
      </c>
      <c r="P11" s="6">
        <v>225</v>
      </c>
      <c r="Q11" s="1">
        <v>60</v>
      </c>
      <c r="R11" s="1">
        <v>108.02</v>
      </c>
      <c r="S11" s="1">
        <f>82.3+31.85</f>
        <v>114.15</v>
      </c>
      <c r="T11" s="6">
        <f t="shared" si="2"/>
        <v>282.16999999999996</v>
      </c>
      <c r="U11" s="6">
        <v>225</v>
      </c>
      <c r="W11" s="6">
        <f t="shared" si="3"/>
        <v>930.08999999999992</v>
      </c>
      <c r="X11" s="6">
        <v>900</v>
      </c>
    </row>
    <row r="12" spans="1:29" x14ac:dyDescent="0.25">
      <c r="B12" s="27"/>
    </row>
    <row r="13" spans="1:29" ht="15.6" x14ac:dyDescent="0.3">
      <c r="A13" s="13" t="s">
        <v>55</v>
      </c>
      <c r="B13" s="1">
        <f t="shared" ref="B13:X13" si="5">SUM(B4:B11)</f>
        <v>16820</v>
      </c>
      <c r="C13" s="1">
        <f t="shared" si="5"/>
        <v>86.51</v>
      </c>
      <c r="D13" s="1">
        <f t="shared" si="5"/>
        <v>68.52</v>
      </c>
      <c r="E13" s="6">
        <f t="shared" si="5"/>
        <v>16975.030000000002</v>
      </c>
      <c r="F13" s="6">
        <f t="shared" si="5"/>
        <v>18270</v>
      </c>
      <c r="G13" s="1">
        <f t="shared" si="5"/>
        <v>80.09</v>
      </c>
      <c r="H13" s="1">
        <f t="shared" si="5"/>
        <v>137.82</v>
      </c>
      <c r="I13" s="1">
        <f t="shared" si="5"/>
        <v>991.83</v>
      </c>
      <c r="J13" s="6">
        <f t="shared" si="5"/>
        <v>1209.74</v>
      </c>
      <c r="K13" s="6">
        <f t="shared" si="5"/>
        <v>1575</v>
      </c>
      <c r="L13" s="1">
        <f t="shared" si="5"/>
        <v>92.16</v>
      </c>
      <c r="M13" s="1">
        <f t="shared" si="5"/>
        <v>118.46</v>
      </c>
      <c r="N13" s="1">
        <f t="shared" si="5"/>
        <v>383.07000000000005</v>
      </c>
      <c r="O13" s="6">
        <f t="shared" si="5"/>
        <v>593.69000000000005</v>
      </c>
      <c r="P13" s="6">
        <f t="shared" si="5"/>
        <v>1800</v>
      </c>
      <c r="Q13" s="1">
        <f t="shared" si="5"/>
        <v>990.16</v>
      </c>
      <c r="R13" s="1">
        <f t="shared" si="5"/>
        <v>119.39999999999999</v>
      </c>
      <c r="S13" s="1">
        <f t="shared" si="5"/>
        <v>366.47</v>
      </c>
      <c r="T13" s="6">
        <f t="shared" si="5"/>
        <v>1476.0299999999997</v>
      </c>
      <c r="U13" s="6">
        <f t="shared" si="5"/>
        <v>1500</v>
      </c>
      <c r="V13" s="1">
        <f t="shared" si="5"/>
        <v>0</v>
      </c>
      <c r="W13" s="6">
        <f t="shared" si="5"/>
        <v>20254.490000000002</v>
      </c>
      <c r="X13" s="6">
        <f t="shared" si="5"/>
        <v>23145</v>
      </c>
    </row>
    <row r="14" spans="1:29" ht="15.6" x14ac:dyDescent="0.3">
      <c r="A14" s="13"/>
    </row>
    <row r="15" spans="1:29" ht="15.6" x14ac:dyDescent="0.3">
      <c r="A15" s="13" t="s">
        <v>61</v>
      </c>
    </row>
    <row r="16" spans="1:29" x14ac:dyDescent="0.25">
      <c r="A16" s="32" t="s">
        <v>72</v>
      </c>
      <c r="B16" s="1">
        <f>1084.86+50.49+54.24</f>
        <v>1189.5899999999999</v>
      </c>
      <c r="C16" s="1">
        <f>48.62+52.44+972.41</f>
        <v>1073.47</v>
      </c>
      <c r="D16" s="1">
        <f>1217.16+60.86+89.31</f>
        <v>1367.33</v>
      </c>
      <c r="E16" s="6">
        <f>B16+C16+D16</f>
        <v>3630.39</v>
      </c>
      <c r="F16" s="6">
        <v>3150</v>
      </c>
      <c r="G16" s="1">
        <f>965.79+48.29+34.06</f>
        <v>1048.1399999999999</v>
      </c>
      <c r="H16" s="1">
        <f>1333.82+84.84+66.69</f>
        <v>1485.35</v>
      </c>
      <c r="I16" s="1">
        <f>984.96+49.25+51.85</f>
        <v>1086.06</v>
      </c>
      <c r="J16" s="6">
        <f>G16+H16+I16</f>
        <v>3619.5499999999997</v>
      </c>
      <c r="K16" s="6">
        <v>3150</v>
      </c>
      <c r="L16" s="1">
        <f>988.38+49.42</f>
        <v>1037.8</v>
      </c>
      <c r="M16" s="1">
        <f>1292.76+79.18+64.64</f>
        <v>1436.5800000000002</v>
      </c>
      <c r="N16" s="1">
        <f>49.25+36.7+984.96</f>
        <v>1070.9100000000001</v>
      </c>
      <c r="O16" s="6">
        <f t="shared" ref="O16:O36" si="6">L16+M16+N16</f>
        <v>3545.29</v>
      </c>
      <c r="P16" s="6">
        <v>3150</v>
      </c>
      <c r="Q16" s="1">
        <f>47.54+31.98+950.76</f>
        <v>1030.28</v>
      </c>
      <c r="R16" s="1">
        <f>1238.04+71.63+61.9</f>
        <v>1371.5700000000002</v>
      </c>
      <c r="S16" s="1">
        <f>967.86+34.34+48.39</f>
        <v>1050.5900000000001</v>
      </c>
      <c r="T16" s="6">
        <f t="shared" ref="T16:T36" si="7">Q16+R16+S16</f>
        <v>3452.4400000000005</v>
      </c>
      <c r="U16" s="6">
        <v>3150</v>
      </c>
      <c r="W16" s="6">
        <f t="shared" ref="W16:W36" si="8">E16+J16+O16+T16</f>
        <v>14247.67</v>
      </c>
      <c r="X16" s="6">
        <v>12600</v>
      </c>
    </row>
    <row r="17" spans="1:27" x14ac:dyDescent="0.25">
      <c r="A17" s="32" t="s">
        <v>28</v>
      </c>
      <c r="B17" s="1">
        <v>738.58</v>
      </c>
      <c r="E17" s="6">
        <f t="shared" ref="E17:E38" si="9">B17+C17+D17</f>
        <v>738.58</v>
      </c>
      <c r="F17" s="6">
        <v>800</v>
      </c>
      <c r="J17" s="6">
        <f t="shared" ref="J17:J36" si="10">G17+H17+I17</f>
        <v>0</v>
      </c>
      <c r="K17" s="6"/>
      <c r="L17" s="1">
        <v>38.409999999999997</v>
      </c>
      <c r="O17" s="6">
        <f t="shared" si="6"/>
        <v>38.409999999999997</v>
      </c>
      <c r="P17" s="6"/>
      <c r="T17" s="6">
        <f t="shared" si="7"/>
        <v>0</v>
      </c>
      <c r="U17" s="6"/>
      <c r="W17" s="6">
        <f t="shared" si="8"/>
        <v>776.99</v>
      </c>
      <c r="X17" s="6">
        <v>800</v>
      </c>
    </row>
    <row r="18" spans="1:27" x14ac:dyDescent="0.25">
      <c r="A18" s="32" t="s">
        <v>29</v>
      </c>
      <c r="E18" s="6">
        <f t="shared" si="9"/>
        <v>0</v>
      </c>
      <c r="F18" s="6"/>
      <c r="J18" s="6">
        <f t="shared" si="10"/>
        <v>0</v>
      </c>
      <c r="K18" s="6">
        <v>325</v>
      </c>
      <c r="L18" s="1">
        <v>300</v>
      </c>
      <c r="O18" s="6">
        <f t="shared" si="6"/>
        <v>300</v>
      </c>
      <c r="P18" s="6"/>
      <c r="T18" s="6">
        <f t="shared" si="7"/>
        <v>0</v>
      </c>
      <c r="U18" s="6"/>
      <c r="W18" s="6">
        <f t="shared" si="8"/>
        <v>300</v>
      </c>
      <c r="X18" s="6">
        <v>325</v>
      </c>
      <c r="AA18" s="36"/>
    </row>
    <row r="19" spans="1:27" x14ac:dyDescent="0.25">
      <c r="A19" s="32" t="s">
        <v>30</v>
      </c>
      <c r="E19" s="6">
        <f t="shared" si="9"/>
        <v>0</v>
      </c>
      <c r="F19" s="6">
        <v>170</v>
      </c>
      <c r="J19" s="6">
        <f t="shared" si="10"/>
        <v>0</v>
      </c>
      <c r="K19" s="6"/>
      <c r="O19" s="6">
        <f t="shared" si="6"/>
        <v>0</v>
      </c>
      <c r="P19" s="6"/>
      <c r="R19" s="1">
        <v>250</v>
      </c>
      <c r="T19" s="6">
        <f t="shared" si="7"/>
        <v>250</v>
      </c>
      <c r="U19" s="6"/>
      <c r="W19" s="6">
        <f t="shared" si="8"/>
        <v>250</v>
      </c>
      <c r="X19" s="6">
        <v>170</v>
      </c>
    </row>
    <row r="20" spans="1:27" x14ac:dyDescent="0.25">
      <c r="A20" s="32" t="s">
        <v>31</v>
      </c>
      <c r="B20" s="1">
        <f>9.9+9.9</f>
        <v>19.8</v>
      </c>
      <c r="E20" s="6">
        <f t="shared" si="9"/>
        <v>19.8</v>
      </c>
      <c r="F20" s="6">
        <v>75</v>
      </c>
      <c r="G20" s="1">
        <v>80</v>
      </c>
      <c r="I20" s="1">
        <f>10.8+2.5</f>
        <v>13.3</v>
      </c>
      <c r="J20" s="6">
        <f t="shared" si="10"/>
        <v>93.3</v>
      </c>
      <c r="K20" s="6">
        <v>75</v>
      </c>
      <c r="L20" s="1">
        <v>9.9</v>
      </c>
      <c r="M20" s="1">
        <v>9.9</v>
      </c>
      <c r="N20" s="1">
        <v>9.9</v>
      </c>
      <c r="O20" s="6">
        <f t="shared" si="6"/>
        <v>29.700000000000003</v>
      </c>
      <c r="P20" s="6">
        <v>75</v>
      </c>
      <c r="Q20" s="1">
        <v>9.9</v>
      </c>
      <c r="T20" s="6">
        <f t="shared" si="7"/>
        <v>9.9</v>
      </c>
      <c r="U20" s="6">
        <v>75</v>
      </c>
      <c r="W20" s="6">
        <f t="shared" si="8"/>
        <v>152.70000000000002</v>
      </c>
      <c r="X20" s="6">
        <v>300</v>
      </c>
      <c r="AA20" s="36"/>
    </row>
    <row r="21" spans="1:27" x14ac:dyDescent="0.25">
      <c r="A21" s="32" t="s">
        <v>32</v>
      </c>
      <c r="B21" s="1">
        <f>393.53+156</f>
        <v>549.53</v>
      </c>
      <c r="E21" s="6">
        <f>B21+C21+D21</f>
        <v>549.53</v>
      </c>
      <c r="F21" s="6">
        <v>410</v>
      </c>
      <c r="J21" s="6">
        <f t="shared" si="10"/>
        <v>0</v>
      </c>
      <c r="K21" s="6"/>
      <c r="O21" s="6">
        <f t="shared" si="6"/>
        <v>0</v>
      </c>
      <c r="P21" s="6"/>
      <c r="R21" s="1">
        <v>161</v>
      </c>
      <c r="T21" s="6">
        <f t="shared" si="7"/>
        <v>161</v>
      </c>
      <c r="U21" s="6"/>
      <c r="W21" s="6">
        <f t="shared" si="8"/>
        <v>710.53</v>
      </c>
      <c r="X21" s="6">
        <v>410</v>
      </c>
    </row>
    <row r="22" spans="1:27" x14ac:dyDescent="0.25">
      <c r="A22" s="32" t="s">
        <v>33</v>
      </c>
      <c r="C22" s="1">
        <v>70</v>
      </c>
      <c r="D22" s="1">
        <f>70-29.45</f>
        <v>40.549999999999997</v>
      </c>
      <c r="E22" s="6">
        <f t="shared" si="9"/>
        <v>110.55</v>
      </c>
      <c r="F22" s="6">
        <v>100</v>
      </c>
      <c r="G22" s="1">
        <v>70</v>
      </c>
      <c r="H22" s="1">
        <v>51</v>
      </c>
      <c r="I22" s="1">
        <v>51</v>
      </c>
      <c r="J22" s="6">
        <f t="shared" si="10"/>
        <v>172</v>
      </c>
      <c r="K22" s="6">
        <v>100</v>
      </c>
      <c r="L22" s="1">
        <f>51-3.27</f>
        <v>47.73</v>
      </c>
      <c r="M22" s="1">
        <v>68</v>
      </c>
      <c r="N22" s="1">
        <v>68</v>
      </c>
      <c r="O22" s="6">
        <f t="shared" si="6"/>
        <v>183.73</v>
      </c>
      <c r="P22" s="6">
        <v>175</v>
      </c>
      <c r="Q22" s="1">
        <v>68</v>
      </c>
      <c r="R22" s="1">
        <v>68</v>
      </c>
      <c r="S22" s="1">
        <f>68+68</f>
        <v>136</v>
      </c>
      <c r="T22" s="6">
        <f t="shared" si="7"/>
        <v>272</v>
      </c>
      <c r="U22" s="6">
        <v>175</v>
      </c>
      <c r="W22" s="6">
        <f t="shared" si="8"/>
        <v>738.28</v>
      </c>
      <c r="X22" s="6">
        <v>550</v>
      </c>
    </row>
    <row r="23" spans="1:27" x14ac:dyDescent="0.25">
      <c r="A23" s="32" t="s">
        <v>63</v>
      </c>
      <c r="B23" s="1">
        <f>6+64.29+6.96+12.12+6.96+1+65.35+21.88+2.32+2.49+1.5</f>
        <v>190.87</v>
      </c>
      <c r="C23" s="1">
        <f>20.82+6+19.99+4.94+71.46</f>
        <v>123.21</v>
      </c>
      <c r="D23" s="1">
        <v>6</v>
      </c>
      <c r="E23" s="6">
        <f t="shared" si="9"/>
        <v>320.08</v>
      </c>
      <c r="F23" s="6">
        <v>225</v>
      </c>
      <c r="G23" s="1">
        <f>6+1.04</f>
        <v>7.04</v>
      </c>
      <c r="H23" s="1">
        <f>147.25+6+3.17+8.74</f>
        <v>165.16</v>
      </c>
      <c r="I23" s="1">
        <f>7.38+72.67+6+1.59+2.3</f>
        <v>89.94</v>
      </c>
      <c r="J23" s="6">
        <f t="shared" si="10"/>
        <v>262.14</v>
      </c>
      <c r="K23" s="6">
        <v>225</v>
      </c>
      <c r="L23" s="1">
        <f>6+16.91+16.16+3.81</f>
        <v>42.88</v>
      </c>
      <c r="M23" s="1">
        <f>2.07+105.82+60.5+6+21.49+1.2</f>
        <v>197.07999999999998</v>
      </c>
      <c r="N23" s="1">
        <f>6</f>
        <v>6</v>
      </c>
      <c r="O23" s="6">
        <f t="shared" si="6"/>
        <v>245.95999999999998</v>
      </c>
      <c r="P23" s="6">
        <v>225</v>
      </c>
      <c r="Q23" s="35">
        <f>6+63.49</f>
        <v>69.490000000000009</v>
      </c>
      <c r="R23" s="1">
        <f>16.91+18.11+54.94+6</f>
        <v>95.96</v>
      </c>
      <c r="S23" s="1">
        <f>6+3.99</f>
        <v>9.99</v>
      </c>
      <c r="T23" s="6">
        <f t="shared" si="7"/>
        <v>175.44</v>
      </c>
      <c r="U23" s="6">
        <v>225</v>
      </c>
      <c r="W23" s="6">
        <f t="shared" si="8"/>
        <v>1003.6200000000001</v>
      </c>
      <c r="X23" s="6">
        <v>900</v>
      </c>
      <c r="AA23" s="36"/>
    </row>
    <row r="24" spans="1:27" x14ac:dyDescent="0.25">
      <c r="A24" s="32" t="s">
        <v>34</v>
      </c>
      <c r="C24" s="1">
        <v>38</v>
      </c>
      <c r="D24" s="1">
        <v>142.6</v>
      </c>
      <c r="E24" s="6">
        <f t="shared" si="9"/>
        <v>180.6</v>
      </c>
      <c r="F24" s="6">
        <v>0</v>
      </c>
      <c r="J24" s="6">
        <f t="shared" si="10"/>
        <v>0</v>
      </c>
      <c r="K24" s="6">
        <v>50</v>
      </c>
      <c r="O24" s="6">
        <f t="shared" si="6"/>
        <v>0</v>
      </c>
      <c r="P24" s="6"/>
      <c r="T24" s="6">
        <f t="shared" si="7"/>
        <v>0</v>
      </c>
      <c r="U24" s="6"/>
      <c r="W24" s="6">
        <f t="shared" si="8"/>
        <v>180.6</v>
      </c>
      <c r="X24" s="6">
        <v>50</v>
      </c>
      <c r="AA24" s="37"/>
    </row>
    <row r="25" spans="1:27" x14ac:dyDescent="0.25">
      <c r="A25" s="32" t="s">
        <v>64</v>
      </c>
      <c r="E25" s="6">
        <f t="shared" si="9"/>
        <v>0</v>
      </c>
      <c r="F25" s="6">
        <v>200</v>
      </c>
      <c r="J25" s="6">
        <f t="shared" si="10"/>
        <v>0</v>
      </c>
      <c r="K25" s="6"/>
      <c r="O25" s="6">
        <f t="shared" si="6"/>
        <v>0</v>
      </c>
      <c r="P25" s="6"/>
      <c r="T25" s="6">
        <f t="shared" si="7"/>
        <v>0</v>
      </c>
      <c r="U25" s="6"/>
      <c r="W25" s="6">
        <f t="shared" si="8"/>
        <v>0</v>
      </c>
      <c r="X25" s="6">
        <v>200</v>
      </c>
    </row>
    <row r="26" spans="1:27" x14ac:dyDescent="0.25">
      <c r="A26" s="32" t="s">
        <v>35</v>
      </c>
      <c r="C26" s="1">
        <v>147.47999999999999</v>
      </c>
      <c r="E26" s="6">
        <f t="shared" si="9"/>
        <v>147.47999999999999</v>
      </c>
      <c r="F26" s="6">
        <v>133</v>
      </c>
      <c r="J26" s="6">
        <f t="shared" si="10"/>
        <v>0</v>
      </c>
      <c r="K26" s="6">
        <v>132</v>
      </c>
      <c r="L26" s="1">
        <v>143.65</v>
      </c>
      <c r="O26" s="6">
        <f t="shared" si="6"/>
        <v>143.65</v>
      </c>
      <c r="P26" s="6">
        <v>133</v>
      </c>
      <c r="R26" s="1">
        <v>144.6</v>
      </c>
      <c r="T26" s="6">
        <f t="shared" si="7"/>
        <v>144.6</v>
      </c>
      <c r="U26" s="6">
        <v>132</v>
      </c>
      <c r="W26" s="6">
        <f t="shared" si="8"/>
        <v>435.73</v>
      </c>
      <c r="X26" s="6">
        <v>530</v>
      </c>
      <c r="Z26" s="37"/>
      <c r="AA26" s="37"/>
    </row>
    <row r="27" spans="1:27" x14ac:dyDescent="0.25">
      <c r="A27" s="32" t="s">
        <v>40</v>
      </c>
      <c r="E27" s="6">
        <f t="shared" si="9"/>
        <v>0</v>
      </c>
      <c r="F27" s="6">
        <v>50</v>
      </c>
      <c r="I27" s="35"/>
      <c r="J27" s="6">
        <f t="shared" si="10"/>
        <v>0</v>
      </c>
      <c r="K27" s="6">
        <v>50</v>
      </c>
      <c r="N27" s="1">
        <v>13</v>
      </c>
      <c r="O27" s="6">
        <f t="shared" si="6"/>
        <v>13</v>
      </c>
      <c r="P27" s="6">
        <v>75</v>
      </c>
      <c r="Q27" s="1">
        <v>5.97</v>
      </c>
      <c r="S27" s="1">
        <f>100+175</f>
        <v>275</v>
      </c>
      <c r="T27" s="6">
        <f t="shared" si="7"/>
        <v>280.97000000000003</v>
      </c>
      <c r="U27" s="6">
        <v>75</v>
      </c>
      <c r="W27" s="6">
        <f t="shared" si="8"/>
        <v>293.97000000000003</v>
      </c>
      <c r="X27" s="6">
        <v>250</v>
      </c>
      <c r="Z27" s="21"/>
    </row>
    <row r="28" spans="1:27" x14ac:dyDescent="0.25">
      <c r="A28" s="32" t="s">
        <v>52</v>
      </c>
      <c r="B28" s="1">
        <v>10</v>
      </c>
      <c r="C28" s="1">
        <v>10</v>
      </c>
      <c r="D28" s="1">
        <v>10</v>
      </c>
      <c r="E28" s="6">
        <f t="shared" si="9"/>
        <v>30</v>
      </c>
      <c r="F28" s="6">
        <v>30</v>
      </c>
      <c r="G28" s="1">
        <v>10</v>
      </c>
      <c r="H28" s="1">
        <v>10</v>
      </c>
      <c r="I28" s="35">
        <v>10</v>
      </c>
      <c r="J28" s="6">
        <f t="shared" si="10"/>
        <v>30</v>
      </c>
      <c r="K28" s="6">
        <v>30</v>
      </c>
      <c r="L28" s="1">
        <v>10</v>
      </c>
      <c r="M28" s="1">
        <v>10</v>
      </c>
      <c r="N28" s="1">
        <v>10</v>
      </c>
      <c r="O28" s="6">
        <f t="shared" si="6"/>
        <v>30</v>
      </c>
      <c r="P28" s="6">
        <v>30</v>
      </c>
      <c r="Q28" s="1">
        <v>10</v>
      </c>
      <c r="R28" s="1">
        <v>10</v>
      </c>
      <c r="S28" s="1">
        <v>10</v>
      </c>
      <c r="T28" s="6">
        <f t="shared" si="7"/>
        <v>30</v>
      </c>
      <c r="U28" s="6">
        <v>30</v>
      </c>
      <c r="W28" s="6">
        <f t="shared" si="8"/>
        <v>120</v>
      </c>
      <c r="X28" s="6">
        <v>120</v>
      </c>
      <c r="Z28" s="21"/>
    </row>
    <row r="29" spans="1:27" x14ac:dyDescent="0.25">
      <c r="A29" s="32" t="s">
        <v>39</v>
      </c>
      <c r="B29" s="1">
        <f>39.52+45.5+1.2+0.66+72.59+4.08+8.21+110.4+13.08+4.38+0.47+0.5+2.17</f>
        <v>302.7600000000001</v>
      </c>
      <c r="C29" s="1">
        <f>9+15.13+4.16+1.2+8.69+29.49+2.5+8.47+6.4+8.41+14.3+7.6</f>
        <v>115.35</v>
      </c>
      <c r="D29" s="1">
        <f>2.2+1.2+8+8.54+8.1+8.65+8.05+7.9+28.52+44.14+18+29.45</f>
        <v>172.75</v>
      </c>
      <c r="E29" s="6">
        <f t="shared" si="9"/>
        <v>590.86000000000013</v>
      </c>
      <c r="F29" s="6">
        <v>1250</v>
      </c>
      <c r="G29" s="1">
        <f>1.2+7.42+7.07+0.21</f>
        <v>15.9</v>
      </c>
      <c r="H29" s="1">
        <f>29.44+1.2+3.67+7.96+8.44+3.64+0.61+4.8+1.89+0.63+1.75+19.62+35.89</f>
        <v>119.54</v>
      </c>
      <c r="I29" s="1">
        <f>36+1.47+14.53+1.33+1.2+8.61+8.54+8.29+8.5+8.32+8.33+1.59</f>
        <v>106.71</v>
      </c>
      <c r="J29" s="6">
        <f t="shared" si="10"/>
        <v>242.14999999999998</v>
      </c>
      <c r="K29" s="6">
        <v>1250</v>
      </c>
      <c r="L29" s="1">
        <f>60+14+8.37+8.28+8.46+1.2+400+3.38+3.23+0.77+28.73+45.5+3.27</f>
        <v>585.18999999999994</v>
      </c>
      <c r="M29" s="1">
        <f>0.42+17.37+6.88+0.66+1.2+0.76+3.17</f>
        <v>30.46</v>
      </c>
      <c r="N29" s="1">
        <f>1.2+2.37+3.77+6.44+29.6</f>
        <v>43.38</v>
      </c>
      <c r="O29" s="6">
        <f t="shared" si="6"/>
        <v>659.03</v>
      </c>
      <c r="P29" s="6">
        <v>1250</v>
      </c>
      <c r="Q29" s="1">
        <f>1.2+0.5+7.5+45.5</f>
        <v>54.7</v>
      </c>
      <c r="R29" s="1">
        <f>28.92+3.38+1.73+3.62+10.99+0.83+20.4+9+18.75+1.2+1.92+3.77+4.8</f>
        <v>109.31</v>
      </c>
      <c r="S29" s="1">
        <f>1.59+0.83+2.35+114.6+1.2+7.64+35+20.5+7.81</f>
        <v>191.51999999999998</v>
      </c>
      <c r="T29" s="6">
        <f t="shared" si="7"/>
        <v>355.53</v>
      </c>
      <c r="U29" s="6">
        <v>1250</v>
      </c>
      <c r="W29" s="6">
        <f t="shared" si="8"/>
        <v>1847.57</v>
      </c>
      <c r="X29" s="6">
        <v>5000</v>
      </c>
      <c r="AA29" s="36"/>
    </row>
    <row r="30" spans="1:27" x14ac:dyDescent="0.25">
      <c r="A30" s="32" t="s">
        <v>96</v>
      </c>
      <c r="D30" s="1">
        <v>40</v>
      </c>
      <c r="E30" s="6">
        <f t="shared" si="9"/>
        <v>40</v>
      </c>
      <c r="F30" s="6">
        <v>40</v>
      </c>
      <c r="J30" s="6">
        <f t="shared" si="10"/>
        <v>0</v>
      </c>
      <c r="K30" s="6"/>
      <c r="O30" s="6">
        <f t="shared" si="6"/>
        <v>0</v>
      </c>
      <c r="P30" s="6"/>
      <c r="T30" s="6">
        <f t="shared" si="7"/>
        <v>0</v>
      </c>
      <c r="U30" s="6"/>
      <c r="W30" s="6">
        <f t="shared" si="8"/>
        <v>40</v>
      </c>
      <c r="X30" s="6">
        <v>40</v>
      </c>
      <c r="AA30" s="36"/>
    </row>
    <row r="31" spans="1:27" x14ac:dyDescent="0.25">
      <c r="A31" s="32" t="s">
        <v>113</v>
      </c>
      <c r="E31" s="6"/>
      <c r="F31" s="6"/>
      <c r="J31" s="6"/>
      <c r="K31" s="6"/>
      <c r="O31" s="6"/>
      <c r="P31" s="6"/>
      <c r="T31" s="6"/>
      <c r="U31" s="6"/>
      <c r="W31" s="6"/>
      <c r="X31" s="6"/>
      <c r="AA31" s="36"/>
    </row>
    <row r="32" spans="1:27" x14ac:dyDescent="0.25">
      <c r="A32" s="32" t="s">
        <v>73</v>
      </c>
      <c r="E32" s="6">
        <f t="shared" si="9"/>
        <v>0</v>
      </c>
      <c r="F32" s="6"/>
      <c r="H32" s="1">
        <v>9.4499999999999993</v>
      </c>
      <c r="J32" s="6">
        <f t="shared" si="10"/>
        <v>9.4499999999999993</v>
      </c>
      <c r="K32" s="6">
        <v>50</v>
      </c>
      <c r="O32" s="6">
        <f t="shared" si="6"/>
        <v>0</v>
      </c>
      <c r="P32" s="6"/>
      <c r="R32" s="1">
        <v>25</v>
      </c>
      <c r="T32" s="6">
        <f t="shared" si="7"/>
        <v>25</v>
      </c>
      <c r="U32" s="6"/>
      <c r="W32" s="6">
        <f t="shared" si="8"/>
        <v>34.450000000000003</v>
      </c>
      <c r="X32" s="6">
        <v>50</v>
      </c>
    </row>
    <row r="33" spans="1:24" x14ac:dyDescent="0.25">
      <c r="A33" s="32" t="s">
        <v>65</v>
      </c>
      <c r="B33" s="1">
        <v>47.24</v>
      </c>
      <c r="D33" s="1">
        <v>54.56</v>
      </c>
      <c r="E33" s="6">
        <f t="shared" si="9"/>
        <v>101.80000000000001</v>
      </c>
      <c r="F33" s="6">
        <v>100</v>
      </c>
      <c r="I33" s="1">
        <v>82.3</v>
      </c>
      <c r="J33" s="6">
        <f t="shared" si="10"/>
        <v>82.3</v>
      </c>
      <c r="K33" s="6">
        <v>100</v>
      </c>
      <c r="M33" s="1">
        <v>75.599999999999994</v>
      </c>
      <c r="O33" s="6">
        <f t="shared" si="6"/>
        <v>75.599999999999994</v>
      </c>
      <c r="P33" s="6">
        <v>100</v>
      </c>
      <c r="S33" s="1">
        <v>76.400000000000006</v>
      </c>
      <c r="T33" s="6">
        <f t="shared" si="7"/>
        <v>76.400000000000006</v>
      </c>
      <c r="U33" s="6">
        <v>100</v>
      </c>
      <c r="W33" s="6">
        <f t="shared" si="8"/>
        <v>336.1</v>
      </c>
      <c r="X33" s="6">
        <v>400</v>
      </c>
    </row>
    <row r="34" spans="1:24" x14ac:dyDescent="0.25">
      <c r="A34" s="32" t="s">
        <v>108</v>
      </c>
      <c r="E34" s="6"/>
      <c r="F34" s="6"/>
      <c r="I34" s="1">
        <v>12.5</v>
      </c>
      <c r="J34" s="6">
        <f t="shared" si="10"/>
        <v>12.5</v>
      </c>
      <c r="K34" s="6"/>
      <c r="O34" s="6"/>
      <c r="P34" s="6"/>
      <c r="T34" s="6"/>
      <c r="U34" s="6"/>
      <c r="W34" s="6">
        <f t="shared" si="8"/>
        <v>12.5</v>
      </c>
      <c r="X34" s="6"/>
    </row>
    <row r="35" spans="1:24" x14ac:dyDescent="0.25">
      <c r="A35" s="32" t="s">
        <v>66</v>
      </c>
      <c r="E35" s="6">
        <f t="shared" si="9"/>
        <v>0</v>
      </c>
      <c r="F35" s="6">
        <v>400</v>
      </c>
      <c r="J35" s="6">
        <f t="shared" si="10"/>
        <v>0</v>
      </c>
      <c r="K35" s="6"/>
      <c r="O35" s="6">
        <f t="shared" si="6"/>
        <v>0</v>
      </c>
      <c r="P35" s="6"/>
      <c r="T35" s="6">
        <f t="shared" si="7"/>
        <v>0</v>
      </c>
      <c r="U35" s="6"/>
      <c r="W35" s="6">
        <f t="shared" si="8"/>
        <v>0</v>
      </c>
      <c r="X35" s="6">
        <v>400</v>
      </c>
    </row>
    <row r="36" spans="1:24" x14ac:dyDescent="0.25">
      <c r="A36" s="32" t="s">
        <v>100</v>
      </c>
      <c r="E36" s="6">
        <f t="shared" si="9"/>
        <v>0</v>
      </c>
      <c r="F36" s="6">
        <v>500</v>
      </c>
      <c r="H36" s="1">
        <v>265.69</v>
      </c>
      <c r="J36" s="6">
        <f t="shared" si="10"/>
        <v>265.69</v>
      </c>
      <c r="K36" s="6"/>
      <c r="O36" s="6">
        <f t="shared" si="6"/>
        <v>0</v>
      </c>
      <c r="P36" s="6"/>
      <c r="T36" s="6">
        <f t="shared" si="7"/>
        <v>0</v>
      </c>
      <c r="U36" s="6"/>
      <c r="W36" s="6">
        <f t="shared" si="8"/>
        <v>265.69</v>
      </c>
      <c r="X36" s="6">
        <v>500</v>
      </c>
    </row>
    <row r="37" spans="1:24" ht="15.6" x14ac:dyDescent="0.3">
      <c r="A37" s="29" t="s">
        <v>53</v>
      </c>
      <c r="E37" s="6">
        <f t="shared" si="9"/>
        <v>0</v>
      </c>
    </row>
    <row r="38" spans="1:24" x14ac:dyDescent="0.25">
      <c r="A38" s="48" t="s">
        <v>102</v>
      </c>
      <c r="B38" s="1">
        <v>80</v>
      </c>
      <c r="E38" s="6">
        <f t="shared" si="9"/>
        <v>80</v>
      </c>
      <c r="F38" s="6"/>
      <c r="J38" s="6">
        <f t="shared" ref="J38:J39" si="11">G38+H38+I38</f>
        <v>0</v>
      </c>
      <c r="K38" s="6">
        <v>100</v>
      </c>
      <c r="O38" s="6">
        <f t="shared" ref="O38:O40" si="12">L38+M38+N38</f>
        <v>0</v>
      </c>
      <c r="P38" s="6"/>
      <c r="S38" s="1">
        <f>573+3.49</f>
        <v>576.49</v>
      </c>
      <c r="T38" s="6">
        <f t="shared" ref="T38:T41" si="13">Q38+R38+S38</f>
        <v>576.49</v>
      </c>
      <c r="U38" s="6"/>
      <c r="W38" s="6">
        <f t="shared" ref="W38:W45" si="14">E38+J38+O38+T38</f>
        <v>656.49</v>
      </c>
      <c r="X38" s="6">
        <v>100</v>
      </c>
    </row>
    <row r="39" spans="1:24" x14ac:dyDescent="0.25">
      <c r="A39" s="32" t="s">
        <v>36</v>
      </c>
      <c r="E39" s="6">
        <f>B37+C37+D37</f>
        <v>0</v>
      </c>
      <c r="F39" s="6"/>
      <c r="J39" s="6">
        <f t="shared" si="11"/>
        <v>0</v>
      </c>
      <c r="K39" s="6"/>
      <c r="L39" s="1">
        <v>50</v>
      </c>
      <c r="O39" s="6">
        <f t="shared" si="12"/>
        <v>50</v>
      </c>
      <c r="P39" s="6">
        <v>50</v>
      </c>
      <c r="T39" s="6">
        <f t="shared" si="13"/>
        <v>0</v>
      </c>
      <c r="U39" s="6"/>
      <c r="W39" s="6">
        <f t="shared" si="14"/>
        <v>50</v>
      </c>
      <c r="X39" s="6">
        <v>50</v>
      </c>
    </row>
    <row r="40" spans="1:24" x14ac:dyDescent="0.25">
      <c r="A40" s="32" t="s">
        <v>37</v>
      </c>
      <c r="E40" s="6">
        <f>B39+C39+D39</f>
        <v>0</v>
      </c>
      <c r="F40" s="6"/>
      <c r="J40" s="6">
        <f t="shared" ref="J40:J42" si="15">G40+H40+I40</f>
        <v>0</v>
      </c>
      <c r="K40" s="6"/>
      <c r="M40" s="1">
        <v>50</v>
      </c>
      <c r="O40" s="6">
        <f t="shared" si="12"/>
        <v>50</v>
      </c>
      <c r="P40" s="6">
        <v>50</v>
      </c>
      <c r="T40" s="6">
        <f t="shared" si="13"/>
        <v>0</v>
      </c>
      <c r="U40" s="6"/>
      <c r="W40" s="6">
        <f t="shared" si="14"/>
        <v>50</v>
      </c>
      <c r="X40" s="6">
        <v>50</v>
      </c>
    </row>
    <row r="41" spans="1:24" x14ac:dyDescent="0.25">
      <c r="A41" s="32" t="s">
        <v>116</v>
      </c>
      <c r="E41" s="6"/>
      <c r="F41" s="6"/>
      <c r="J41" s="6"/>
      <c r="K41" s="6"/>
      <c r="O41" s="6"/>
      <c r="P41" s="6"/>
      <c r="R41" s="1">
        <v>50</v>
      </c>
      <c r="T41" s="6">
        <f t="shared" si="13"/>
        <v>50</v>
      </c>
      <c r="U41" s="6"/>
      <c r="W41" s="6">
        <f t="shared" si="14"/>
        <v>50</v>
      </c>
      <c r="X41" s="6"/>
    </row>
    <row r="42" spans="1:24" x14ac:dyDescent="0.25">
      <c r="A42" s="32" t="s">
        <v>105</v>
      </c>
      <c r="E42" s="6"/>
      <c r="F42" s="6"/>
      <c r="I42" s="1">
        <v>50</v>
      </c>
      <c r="J42" s="6">
        <f t="shared" si="15"/>
        <v>50</v>
      </c>
      <c r="K42" s="6"/>
      <c r="O42" s="6"/>
      <c r="P42" s="6"/>
      <c r="T42" s="6"/>
      <c r="U42" s="6"/>
      <c r="W42" s="6">
        <f t="shared" si="14"/>
        <v>50</v>
      </c>
      <c r="X42" s="6"/>
    </row>
    <row r="43" spans="1:24" x14ac:dyDescent="0.25">
      <c r="A43" s="32" t="s">
        <v>38</v>
      </c>
      <c r="E43" s="6">
        <f>B43+C43+D43</f>
        <v>0</v>
      </c>
      <c r="F43" s="6"/>
      <c r="J43" s="6">
        <f>G43+H43+I43</f>
        <v>0</v>
      </c>
      <c r="K43" s="6"/>
      <c r="M43" s="1">
        <v>50</v>
      </c>
      <c r="O43" s="6">
        <f>L43+M43+N43</f>
        <v>50</v>
      </c>
      <c r="P43" s="6">
        <v>50</v>
      </c>
      <c r="T43" s="6">
        <f>Q43+R43+S43</f>
        <v>0</v>
      </c>
      <c r="U43" s="6"/>
      <c r="W43" s="6">
        <f t="shared" si="14"/>
        <v>50</v>
      </c>
      <c r="X43" s="6">
        <v>50</v>
      </c>
    </row>
    <row r="44" spans="1:24" x14ac:dyDescent="0.25">
      <c r="A44" s="32" t="s">
        <v>97</v>
      </c>
      <c r="E44" s="6">
        <f>B44+C44+D44</f>
        <v>0</v>
      </c>
      <c r="F44" s="6">
        <v>50</v>
      </c>
      <c r="J44" s="6">
        <f>G44+H44+I44</f>
        <v>0</v>
      </c>
      <c r="K44" s="6"/>
      <c r="M44" s="1">
        <v>50</v>
      </c>
      <c r="O44" s="6">
        <f>L44+M44+N44</f>
        <v>50</v>
      </c>
      <c r="P44" s="6"/>
      <c r="T44" s="6">
        <f>Q44+R44+S44</f>
        <v>0</v>
      </c>
      <c r="U44" s="6"/>
      <c r="W44" s="6">
        <f t="shared" si="14"/>
        <v>50</v>
      </c>
      <c r="X44" s="6">
        <v>50</v>
      </c>
    </row>
    <row r="45" spans="1:24" x14ac:dyDescent="0.25">
      <c r="A45" s="32" t="s">
        <v>101</v>
      </c>
      <c r="E45" s="6">
        <f>B45+C45+D45</f>
        <v>0</v>
      </c>
      <c r="F45" s="6"/>
      <c r="J45" s="6">
        <f>G45+H45+I45</f>
        <v>0</v>
      </c>
      <c r="K45" s="6"/>
      <c r="O45" s="6">
        <f>L45+M45+N45</f>
        <v>0</v>
      </c>
      <c r="P45" s="6">
        <v>50</v>
      </c>
      <c r="T45" s="6">
        <f>Q45+R45+S45</f>
        <v>0</v>
      </c>
      <c r="U45" s="6"/>
      <c r="W45" s="6">
        <f t="shared" si="14"/>
        <v>0</v>
      </c>
      <c r="X45" s="6">
        <v>50</v>
      </c>
    </row>
    <row r="46" spans="1:24" x14ac:dyDescent="0.25">
      <c r="A46" s="32" t="s">
        <v>82</v>
      </c>
      <c r="E46" s="6">
        <f t="shared" ref="E46" si="16">B46+C46+D46</f>
        <v>0</v>
      </c>
      <c r="F46" s="6">
        <v>50</v>
      </c>
      <c r="H46" s="1">
        <v>3.08</v>
      </c>
      <c r="J46" s="6">
        <f t="shared" ref="J46" si="17">G46+H46+I46</f>
        <v>3.08</v>
      </c>
      <c r="K46" s="6">
        <v>50</v>
      </c>
      <c r="O46" s="6">
        <f t="shared" ref="O46" si="18">L46+M46+N46</f>
        <v>0</v>
      </c>
      <c r="P46" s="6">
        <v>50</v>
      </c>
      <c r="S46" s="1">
        <v>4.16</v>
      </c>
      <c r="T46" s="6">
        <f t="shared" ref="T46" si="19">Q46+R46+S46</f>
        <v>4.16</v>
      </c>
      <c r="U46" s="6">
        <v>50</v>
      </c>
      <c r="W46" s="6">
        <f t="shared" ref="W46" si="20">E46+J46+O46+T46</f>
        <v>7.24</v>
      </c>
      <c r="X46" s="6">
        <v>200</v>
      </c>
    </row>
    <row r="47" spans="1:24" x14ac:dyDescent="0.25">
      <c r="A47" s="32"/>
      <c r="X47" s="30"/>
    </row>
    <row r="48" spans="1:24" ht="15.6" x14ac:dyDescent="0.3">
      <c r="A48" s="29" t="s">
        <v>56</v>
      </c>
      <c r="B48" s="1">
        <f t="shared" ref="B48:G48" si="21">SUM(B16:B46)</f>
        <v>3128.37</v>
      </c>
      <c r="C48" s="1">
        <f t="shared" si="21"/>
        <v>1577.51</v>
      </c>
      <c r="D48" s="1">
        <f t="shared" si="21"/>
        <v>1833.7899999999997</v>
      </c>
      <c r="E48" s="6">
        <f t="shared" si="21"/>
        <v>6539.670000000001</v>
      </c>
      <c r="F48" s="6">
        <f t="shared" si="21"/>
        <v>7733</v>
      </c>
      <c r="G48" s="1">
        <f t="shared" si="21"/>
        <v>1231.08</v>
      </c>
      <c r="H48" s="1">
        <f t="shared" ref="H48:U48" si="22">SUM(H16:H46)</f>
        <v>2109.27</v>
      </c>
      <c r="I48" s="1">
        <f t="shared" si="22"/>
        <v>1501.81</v>
      </c>
      <c r="J48" s="6">
        <f t="shared" si="22"/>
        <v>4842.1599999999989</v>
      </c>
      <c r="K48" s="6">
        <f t="shared" si="22"/>
        <v>5687</v>
      </c>
      <c r="L48" s="1">
        <f t="shared" si="22"/>
        <v>2265.5600000000004</v>
      </c>
      <c r="M48" s="1">
        <f t="shared" si="22"/>
        <v>1977.6200000000001</v>
      </c>
      <c r="N48" s="1">
        <f t="shared" si="22"/>
        <v>1221.1900000000003</v>
      </c>
      <c r="O48" s="6">
        <f t="shared" si="22"/>
        <v>5464.369999999999</v>
      </c>
      <c r="P48" s="6">
        <f t="shared" si="22"/>
        <v>5463</v>
      </c>
      <c r="Q48" s="1">
        <f t="shared" si="22"/>
        <v>1248.3400000000001</v>
      </c>
      <c r="R48" s="1">
        <f t="shared" si="22"/>
        <v>2285.44</v>
      </c>
      <c r="S48" s="1">
        <f t="shared" si="22"/>
        <v>2330.15</v>
      </c>
      <c r="T48" s="6">
        <f t="shared" si="22"/>
        <v>5863.9299999999994</v>
      </c>
      <c r="U48" s="6">
        <f t="shared" si="22"/>
        <v>5262</v>
      </c>
      <c r="W48" s="6">
        <f>SUM(W16:W46)</f>
        <v>22710.129999999997</v>
      </c>
      <c r="X48" s="31">
        <f>SUM(X16:X46)</f>
        <v>24145</v>
      </c>
    </row>
    <row r="49" spans="1:19" ht="15.6" x14ac:dyDescent="0.3">
      <c r="A49" s="13"/>
    </row>
    <row r="50" spans="1:19" ht="21" x14ac:dyDescent="0.4">
      <c r="A50" s="8"/>
      <c r="B50" s="3"/>
      <c r="C50" s="2"/>
      <c r="D50" s="3"/>
      <c r="E50" s="2"/>
      <c r="F50" s="3"/>
      <c r="H50" s="3"/>
      <c r="I50" s="2"/>
      <c r="J50" s="3"/>
      <c r="K50" s="3"/>
    </row>
    <row r="51" spans="1:19" x14ac:dyDescent="0.25">
      <c r="B51" s="3"/>
      <c r="C51" s="2"/>
      <c r="D51" s="3"/>
      <c r="E51" s="2"/>
      <c r="F51" s="3"/>
      <c r="G51" s="2"/>
      <c r="H51" s="3"/>
      <c r="I51" s="2"/>
      <c r="J51" s="3"/>
      <c r="K51" s="3"/>
      <c r="S51" s="9"/>
    </row>
    <row r="52" spans="1:19" x14ac:dyDescent="0.25">
      <c r="A52" s="12"/>
      <c r="G52" s="2"/>
      <c r="S52" s="9"/>
    </row>
    <row r="53" spans="1:19" x14ac:dyDescent="0.25">
      <c r="S53" s="10"/>
    </row>
    <row r="54" spans="1:19" x14ac:dyDescent="0.25">
      <c r="S54" s="10"/>
    </row>
    <row r="55" spans="1:19" x14ac:dyDescent="0.25">
      <c r="S55" s="10"/>
    </row>
    <row r="56" spans="1:19" x14ac:dyDescent="0.25">
      <c r="S56" s="10"/>
    </row>
    <row r="57" spans="1:19" x14ac:dyDescent="0.25">
      <c r="S57" s="10"/>
    </row>
  </sheetData>
  <mergeCells count="1">
    <mergeCell ref="A1:X1"/>
  </mergeCells>
  <phoneticPr fontId="4" type="noConversion"/>
  <printOptions headings="1" gridLines="1"/>
  <pageMargins left="0.25" right="0.25" top="0.75" bottom="0.75" header="0.3" footer="0.3"/>
  <pageSetup paperSize="9" scale="5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zoomScale="80" zoomScaleNormal="80" workbookViewId="0">
      <selection activeCell="A2" sqref="A1:T1048576"/>
    </sheetView>
  </sheetViews>
  <sheetFormatPr defaultColWidth="8.90625" defaultRowHeight="15" x14ac:dyDescent="0.25"/>
  <cols>
    <col min="1" max="1" width="36.1796875" style="24" customWidth="1"/>
    <col min="2" max="25" width="8.81640625" style="1" customWidth="1"/>
    <col min="26" max="26" width="11.1796875" style="1" customWidth="1"/>
    <col min="27" max="27" width="8.90625" style="1"/>
    <col min="28" max="28" width="6.36328125" style="1" bestFit="1" customWidth="1"/>
    <col min="29" max="16384" width="8.90625" style="1"/>
  </cols>
  <sheetData>
    <row r="1" spans="1:26" ht="21" x14ac:dyDescent="0.4">
      <c r="A1" s="50" t="s">
        <v>111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8"/>
      <c r="Z1" s="8"/>
    </row>
    <row r="2" spans="1:26" s="12" customFormat="1" ht="26.4" x14ac:dyDescent="0.25">
      <c r="A2" s="23"/>
      <c r="B2" s="22" t="s">
        <v>1</v>
      </c>
      <c r="C2" s="22" t="s">
        <v>2</v>
      </c>
      <c r="D2" s="22" t="s">
        <v>3</v>
      </c>
      <c r="E2" s="11" t="s">
        <v>25</v>
      </c>
      <c r="F2" s="11" t="s">
        <v>13</v>
      </c>
      <c r="G2" s="22" t="s">
        <v>4</v>
      </c>
      <c r="H2" s="22" t="s">
        <v>5</v>
      </c>
      <c r="I2" s="22" t="s">
        <v>6</v>
      </c>
      <c r="J2" s="11" t="s">
        <v>23</v>
      </c>
      <c r="K2" s="11" t="s">
        <v>14</v>
      </c>
      <c r="L2" s="22" t="s">
        <v>7</v>
      </c>
      <c r="M2" s="22" t="s">
        <v>8</v>
      </c>
      <c r="N2" s="22" t="s">
        <v>9</v>
      </c>
      <c r="O2" s="11" t="s">
        <v>24</v>
      </c>
      <c r="P2" s="11" t="s">
        <v>15</v>
      </c>
      <c r="Q2" s="22" t="s">
        <v>10</v>
      </c>
      <c r="R2" s="22" t="s">
        <v>11</v>
      </c>
      <c r="S2" s="22" t="s">
        <v>12</v>
      </c>
      <c r="T2" s="11" t="s">
        <v>41</v>
      </c>
      <c r="U2" s="11" t="s">
        <v>16</v>
      </c>
      <c r="V2" s="22"/>
      <c r="W2" s="11" t="s">
        <v>26</v>
      </c>
      <c r="X2" s="11" t="s">
        <v>22</v>
      </c>
    </row>
    <row r="3" spans="1:26" ht="15.6" x14ac:dyDescent="0.3">
      <c r="A3" s="1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6" x14ac:dyDescent="0.25">
      <c r="A4" s="42" t="s">
        <v>18</v>
      </c>
      <c r="B4" s="1">
        <v>21350</v>
      </c>
      <c r="E4" s="6">
        <f t="shared" ref="E4:E8" si="0">B4+C4+D4</f>
        <v>21350</v>
      </c>
      <c r="F4" s="6">
        <v>21350</v>
      </c>
      <c r="J4" s="6">
        <f t="shared" ref="J4:J8" si="1">G4+H4+I4</f>
        <v>0</v>
      </c>
      <c r="K4" s="6"/>
      <c r="O4" s="6">
        <f t="shared" ref="O4:O8" si="2">L4+M4+N4</f>
        <v>0</v>
      </c>
      <c r="P4" s="6"/>
      <c r="T4" s="6">
        <f t="shared" ref="T4:T8" si="3">Q4+R4+S4</f>
        <v>0</v>
      </c>
      <c r="U4" s="6"/>
      <c r="W4" s="6">
        <f t="shared" ref="W4:W8" si="4">E4+J4+O4+T4</f>
        <v>21350</v>
      </c>
      <c r="X4" s="6">
        <v>21350</v>
      </c>
    </row>
    <row r="5" spans="1:26" x14ac:dyDescent="0.25">
      <c r="A5" s="42" t="s">
        <v>83</v>
      </c>
      <c r="E5" s="6">
        <f t="shared" si="0"/>
        <v>0</v>
      </c>
      <c r="F5" s="6"/>
      <c r="I5" s="1">
        <v>2809.05</v>
      </c>
      <c r="J5" s="6">
        <f t="shared" si="1"/>
        <v>2809.05</v>
      </c>
      <c r="K5" s="6"/>
      <c r="O5" s="6">
        <f t="shared" si="2"/>
        <v>0</v>
      </c>
      <c r="P5" s="6">
        <v>3000</v>
      </c>
      <c r="T5" s="6">
        <f t="shared" si="3"/>
        <v>0</v>
      </c>
      <c r="U5" s="6"/>
      <c r="W5" s="6">
        <f t="shared" si="4"/>
        <v>2809.05</v>
      </c>
      <c r="X5" s="6">
        <v>3000</v>
      </c>
    </row>
    <row r="6" spans="1:26" x14ac:dyDescent="0.25">
      <c r="A6" s="47" t="s">
        <v>115</v>
      </c>
      <c r="E6" s="6"/>
      <c r="F6" s="6"/>
      <c r="J6" s="6"/>
      <c r="K6" s="6"/>
      <c r="O6" s="6"/>
      <c r="P6" s="6"/>
      <c r="R6" s="1">
        <v>1500</v>
      </c>
      <c r="S6" s="1">
        <v>150</v>
      </c>
      <c r="T6" s="6">
        <f t="shared" si="3"/>
        <v>1650</v>
      </c>
      <c r="U6" s="6"/>
      <c r="W6" s="6">
        <f t="shared" si="4"/>
        <v>1650</v>
      </c>
      <c r="X6" s="6"/>
    </row>
    <row r="7" spans="1:26" x14ac:dyDescent="0.25">
      <c r="A7" s="47" t="s">
        <v>114</v>
      </c>
      <c r="E7" s="6"/>
      <c r="F7" s="6"/>
      <c r="J7" s="6"/>
      <c r="K7" s="6"/>
      <c r="O7" s="6"/>
      <c r="P7" s="6"/>
      <c r="Q7" s="1">
        <v>500</v>
      </c>
      <c r="T7" s="6">
        <f t="shared" si="3"/>
        <v>500</v>
      </c>
      <c r="U7" s="6"/>
      <c r="W7" s="6">
        <f t="shared" si="4"/>
        <v>500</v>
      </c>
      <c r="X7" s="6"/>
    </row>
    <row r="8" spans="1:26" x14ac:dyDescent="0.25">
      <c r="A8" s="42" t="s">
        <v>67</v>
      </c>
      <c r="B8" s="1">
        <v>200</v>
      </c>
      <c r="C8" s="1">
        <v>400</v>
      </c>
      <c r="E8" s="6">
        <f t="shared" si="0"/>
        <v>600</v>
      </c>
      <c r="F8" s="6"/>
      <c r="J8" s="6">
        <f t="shared" si="1"/>
        <v>0</v>
      </c>
      <c r="K8" s="6">
        <v>500</v>
      </c>
      <c r="M8" s="1">
        <v>300</v>
      </c>
      <c r="N8" s="1">
        <v>600</v>
      </c>
      <c r="O8" s="6">
        <f t="shared" si="2"/>
        <v>900</v>
      </c>
      <c r="P8" s="6"/>
      <c r="T8" s="6">
        <f t="shared" si="3"/>
        <v>0</v>
      </c>
      <c r="U8" s="6">
        <v>500</v>
      </c>
      <c r="W8" s="6">
        <f t="shared" si="4"/>
        <v>1500</v>
      </c>
      <c r="X8" s="6">
        <v>1000</v>
      </c>
    </row>
    <row r="9" spans="1:26" x14ac:dyDescent="0.25">
      <c r="A9" s="42"/>
    </row>
    <row r="10" spans="1:26" ht="15.6" x14ac:dyDescent="0.3">
      <c r="A10" s="13" t="s">
        <v>55</v>
      </c>
      <c r="B10" s="1">
        <f t="shared" ref="B10:U10" si="5">SUM(B4:B8)</f>
        <v>21550</v>
      </c>
      <c r="C10" s="1">
        <f t="shared" si="5"/>
        <v>400</v>
      </c>
      <c r="D10" s="1">
        <f t="shared" si="5"/>
        <v>0</v>
      </c>
      <c r="E10" s="6">
        <f t="shared" si="5"/>
        <v>21950</v>
      </c>
      <c r="F10" s="6">
        <f t="shared" si="5"/>
        <v>21350</v>
      </c>
      <c r="G10" s="1">
        <f t="shared" si="5"/>
        <v>0</v>
      </c>
      <c r="H10" s="1">
        <f t="shared" si="5"/>
        <v>0</v>
      </c>
      <c r="I10" s="1">
        <f t="shared" si="5"/>
        <v>2809.05</v>
      </c>
      <c r="J10" s="6">
        <f t="shared" si="5"/>
        <v>2809.05</v>
      </c>
      <c r="K10" s="6">
        <f t="shared" si="5"/>
        <v>500</v>
      </c>
      <c r="L10" s="1">
        <f t="shared" si="5"/>
        <v>0</v>
      </c>
      <c r="M10" s="1">
        <f t="shared" si="5"/>
        <v>300</v>
      </c>
      <c r="N10" s="1">
        <f t="shared" si="5"/>
        <v>600</v>
      </c>
      <c r="O10" s="6">
        <f t="shared" si="5"/>
        <v>900</v>
      </c>
      <c r="P10" s="6">
        <f t="shared" si="5"/>
        <v>3000</v>
      </c>
      <c r="Q10" s="1">
        <f t="shared" si="5"/>
        <v>500</v>
      </c>
      <c r="R10" s="1">
        <f t="shared" si="5"/>
        <v>1500</v>
      </c>
      <c r="S10" s="1">
        <f t="shared" si="5"/>
        <v>150</v>
      </c>
      <c r="T10" s="6">
        <f t="shared" si="5"/>
        <v>2150</v>
      </c>
      <c r="U10" s="6">
        <f t="shared" si="5"/>
        <v>500</v>
      </c>
      <c r="W10" s="6">
        <f>SUM(W4:W8)</f>
        <v>27809.05</v>
      </c>
      <c r="X10" s="6">
        <f>SUM(X4:X8)</f>
        <v>25350</v>
      </c>
    </row>
    <row r="11" spans="1:26" x14ac:dyDescent="0.25">
      <c r="A11" s="25"/>
    </row>
    <row r="12" spans="1:26" ht="15.6" x14ac:dyDescent="0.3">
      <c r="A12" s="13" t="s">
        <v>27</v>
      </c>
    </row>
    <row r="13" spans="1:26" ht="15" customHeight="1" x14ac:dyDescent="0.25">
      <c r="A13" s="44" t="s">
        <v>74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45"/>
    </row>
    <row r="14" spans="1:26" ht="15" customHeight="1" x14ac:dyDescent="0.25">
      <c r="A14" s="42" t="s">
        <v>75</v>
      </c>
      <c r="B14" s="28">
        <v>200</v>
      </c>
      <c r="C14" s="1">
        <f>200+200</f>
        <v>400</v>
      </c>
      <c r="D14" s="1">
        <v>400</v>
      </c>
      <c r="E14" s="6">
        <f>B14+C14+D14</f>
        <v>1000</v>
      </c>
      <c r="F14" s="6">
        <v>2250</v>
      </c>
      <c r="G14" s="1">
        <v>200</v>
      </c>
      <c r="H14" s="1">
        <v>600</v>
      </c>
      <c r="J14" s="6">
        <f t="shared" ref="J14:J37" si="6">G14+H14+I14</f>
        <v>800</v>
      </c>
      <c r="K14" s="6">
        <v>2250</v>
      </c>
      <c r="L14" s="1">
        <f>200+200+35+200</f>
        <v>635</v>
      </c>
      <c r="M14" s="1">
        <v>430</v>
      </c>
      <c r="O14" s="6">
        <f t="shared" ref="O14:O37" si="7">L14+M14+N14</f>
        <v>1065</v>
      </c>
      <c r="P14" s="6"/>
      <c r="Q14" s="1">
        <v>200</v>
      </c>
      <c r="T14" s="6">
        <f t="shared" ref="T14:T37" si="8">Q14+R14+S14</f>
        <v>200</v>
      </c>
      <c r="U14" s="6"/>
      <c r="W14" s="6">
        <f t="shared" ref="W14:W37" si="9">E14+J14+O14+T14</f>
        <v>3065</v>
      </c>
      <c r="X14" s="6">
        <v>4500</v>
      </c>
    </row>
    <row r="15" spans="1:26" ht="15" customHeight="1" x14ac:dyDescent="0.25">
      <c r="A15" s="42" t="s">
        <v>68</v>
      </c>
      <c r="C15" s="1">
        <v>100</v>
      </c>
      <c r="E15" s="6">
        <f t="shared" ref="E15:E37" si="10">B15+C15+D15</f>
        <v>100</v>
      </c>
      <c r="F15" s="6"/>
      <c r="J15" s="6">
        <f t="shared" si="6"/>
        <v>0</v>
      </c>
      <c r="K15" s="6">
        <v>400</v>
      </c>
      <c r="O15" s="6">
        <f t="shared" si="7"/>
        <v>0</v>
      </c>
      <c r="P15" s="6"/>
      <c r="R15" s="1">
        <v>75</v>
      </c>
      <c r="T15" s="6">
        <f t="shared" si="8"/>
        <v>75</v>
      </c>
      <c r="U15" s="6"/>
      <c r="W15" s="6">
        <f t="shared" si="9"/>
        <v>175</v>
      </c>
      <c r="X15" s="6">
        <v>400</v>
      </c>
    </row>
    <row r="16" spans="1:26" ht="15" customHeight="1" x14ac:dyDescent="0.25">
      <c r="A16" s="42" t="s">
        <v>84</v>
      </c>
      <c r="B16" s="1">
        <f>50+5+56</f>
        <v>111</v>
      </c>
      <c r="C16" s="1">
        <v>11.2</v>
      </c>
      <c r="D16" s="1">
        <f>33.6+30</f>
        <v>63.6</v>
      </c>
      <c r="E16" s="6">
        <f t="shared" si="10"/>
        <v>185.8</v>
      </c>
      <c r="F16" s="6">
        <v>700</v>
      </c>
      <c r="I16" s="1">
        <f>3</f>
        <v>3</v>
      </c>
      <c r="J16" s="6">
        <f t="shared" si="6"/>
        <v>3</v>
      </c>
      <c r="K16" s="6">
        <v>700</v>
      </c>
      <c r="N16" s="1">
        <f>95.2+28</f>
        <v>123.2</v>
      </c>
      <c r="O16" s="6">
        <f t="shared" si="7"/>
        <v>123.2</v>
      </c>
      <c r="P16" s="6">
        <v>700</v>
      </c>
      <c r="Q16" s="1">
        <f>156.8+89.6</f>
        <v>246.4</v>
      </c>
      <c r="R16" s="1">
        <f>8.61</f>
        <v>8.61</v>
      </c>
      <c r="T16" s="6">
        <f t="shared" si="8"/>
        <v>255.01</v>
      </c>
      <c r="U16" s="6">
        <v>700</v>
      </c>
      <c r="W16" s="6">
        <f t="shared" si="9"/>
        <v>567.01</v>
      </c>
      <c r="X16" s="6">
        <v>2800</v>
      </c>
    </row>
    <row r="17" spans="1:26" ht="17.25" customHeight="1" x14ac:dyDescent="0.25">
      <c r="A17" s="44" t="s">
        <v>76</v>
      </c>
      <c r="W17" s="49"/>
      <c r="X17" s="46"/>
    </row>
    <row r="18" spans="1:26" ht="15" customHeight="1" x14ac:dyDescent="0.25">
      <c r="A18" s="42" t="s">
        <v>75</v>
      </c>
      <c r="B18" s="1">
        <f>235.2+41.04</f>
        <v>276.24</v>
      </c>
      <c r="C18" s="1">
        <f>364+42.03+31.97</f>
        <v>438</v>
      </c>
      <c r="D18" s="1">
        <f>414.4+18+42.71+40.52+43.25+173.6</f>
        <v>732.48</v>
      </c>
      <c r="E18" s="6">
        <f t="shared" si="10"/>
        <v>1446.72</v>
      </c>
      <c r="F18" s="6">
        <v>2000</v>
      </c>
      <c r="G18" s="1">
        <f>280+13.5+37.08+250</f>
        <v>580.57999999999993</v>
      </c>
      <c r="H18" s="1">
        <f>291.2+39.8+9-0.01+500+56</f>
        <v>895.99</v>
      </c>
      <c r="I18" s="1">
        <f>6.66+386.4+18+43.05+42.72+42.51</f>
        <v>539.34</v>
      </c>
      <c r="J18" s="6">
        <f t="shared" si="6"/>
        <v>2015.9099999999999</v>
      </c>
      <c r="K18" s="6">
        <v>2000</v>
      </c>
      <c r="L18" s="1">
        <f>250+250+41.87+42.27+218.4+250</f>
        <v>1052.54</v>
      </c>
      <c r="M18" s="1">
        <f>33.6+500</f>
        <v>533.6</v>
      </c>
      <c r="N18" s="1">
        <v>145.6</v>
      </c>
      <c r="O18" s="6">
        <f t="shared" si="7"/>
        <v>1731.7399999999998</v>
      </c>
      <c r="P18" s="6">
        <v>500</v>
      </c>
      <c r="Q18" s="1">
        <f>250</f>
        <v>250</v>
      </c>
      <c r="S18" s="1">
        <v>39.020000000000003</v>
      </c>
      <c r="T18" s="6">
        <f t="shared" si="8"/>
        <v>289.02</v>
      </c>
      <c r="U18" s="6"/>
      <c r="W18" s="6">
        <f t="shared" si="9"/>
        <v>5483.3899999999994</v>
      </c>
      <c r="X18" s="6">
        <v>4500</v>
      </c>
    </row>
    <row r="19" spans="1:26" ht="15" customHeight="1" x14ac:dyDescent="0.25">
      <c r="A19" s="42" t="s">
        <v>85</v>
      </c>
      <c r="B19" s="1">
        <v>180</v>
      </c>
      <c r="C19" s="1">
        <f>180+180+180</f>
        <v>540</v>
      </c>
      <c r="D19" s="1">
        <v>360</v>
      </c>
      <c r="E19" s="6">
        <f t="shared" si="10"/>
        <v>1080</v>
      </c>
      <c r="F19" s="6">
        <v>450</v>
      </c>
      <c r="G19" s="1">
        <v>180</v>
      </c>
      <c r="H19" s="1">
        <v>360</v>
      </c>
      <c r="J19" s="6">
        <f t="shared" si="6"/>
        <v>540</v>
      </c>
      <c r="K19" s="6">
        <v>450</v>
      </c>
      <c r="L19" s="1">
        <f>180+180+35+180</f>
        <v>575</v>
      </c>
      <c r="M19" s="1">
        <v>360</v>
      </c>
      <c r="O19" s="6">
        <f t="shared" si="7"/>
        <v>935</v>
      </c>
      <c r="P19" s="6">
        <v>100</v>
      </c>
      <c r="Q19" s="1">
        <v>180</v>
      </c>
      <c r="T19" s="6">
        <f t="shared" si="8"/>
        <v>180</v>
      </c>
      <c r="U19" s="6"/>
      <c r="W19" s="6">
        <f t="shared" si="9"/>
        <v>2735</v>
      </c>
      <c r="X19" s="6">
        <v>1000</v>
      </c>
    </row>
    <row r="20" spans="1:26" ht="15" customHeight="1" x14ac:dyDescent="0.25">
      <c r="A20" s="42" t="s">
        <v>70</v>
      </c>
      <c r="C20" s="1">
        <v>28</v>
      </c>
      <c r="E20" s="6">
        <f t="shared" si="10"/>
        <v>28</v>
      </c>
      <c r="F20" s="6">
        <v>200</v>
      </c>
      <c r="G20" s="1">
        <v>16.8</v>
      </c>
      <c r="H20" s="1">
        <v>16.8</v>
      </c>
      <c r="I20" s="1">
        <v>33.6</v>
      </c>
      <c r="J20" s="6">
        <f t="shared" si="6"/>
        <v>67.2</v>
      </c>
      <c r="K20" s="6">
        <v>100</v>
      </c>
      <c r="L20" s="1">
        <v>33.6</v>
      </c>
      <c r="O20" s="6">
        <f t="shared" si="7"/>
        <v>33.6</v>
      </c>
      <c r="P20" s="6"/>
      <c r="R20" s="1">
        <v>11.2</v>
      </c>
      <c r="T20" s="6">
        <f t="shared" si="8"/>
        <v>11.2</v>
      </c>
      <c r="U20" s="6"/>
      <c r="W20" s="6">
        <f t="shared" si="9"/>
        <v>140</v>
      </c>
      <c r="X20" s="6">
        <v>300</v>
      </c>
    </row>
    <row r="21" spans="1:26" ht="15" customHeight="1" x14ac:dyDescent="0.25">
      <c r="A21" s="42" t="s">
        <v>69</v>
      </c>
      <c r="B21" s="1">
        <v>227.5</v>
      </c>
      <c r="E21" s="6">
        <f t="shared" si="10"/>
        <v>227.5</v>
      </c>
      <c r="F21" s="6">
        <v>300</v>
      </c>
      <c r="J21" s="6">
        <f t="shared" si="6"/>
        <v>0</v>
      </c>
      <c r="K21" s="6">
        <v>300</v>
      </c>
      <c r="L21" s="1">
        <v>227.5</v>
      </c>
      <c r="O21" s="6">
        <f t="shared" si="7"/>
        <v>227.5</v>
      </c>
      <c r="P21" s="6">
        <v>300</v>
      </c>
      <c r="Q21" s="1">
        <v>227.5</v>
      </c>
      <c r="T21" s="6">
        <f t="shared" si="8"/>
        <v>227.5</v>
      </c>
      <c r="U21" s="6">
        <v>300</v>
      </c>
      <c r="W21" s="6">
        <f t="shared" si="9"/>
        <v>682.5</v>
      </c>
      <c r="X21" s="6">
        <v>1200</v>
      </c>
    </row>
    <row r="22" spans="1:26" ht="15" customHeight="1" x14ac:dyDescent="0.25">
      <c r="A22" s="42" t="s">
        <v>86</v>
      </c>
      <c r="E22" s="6">
        <f t="shared" si="10"/>
        <v>0</v>
      </c>
      <c r="F22" s="6"/>
      <c r="J22" s="6">
        <f t="shared" si="6"/>
        <v>0</v>
      </c>
      <c r="K22" s="6"/>
      <c r="O22" s="6">
        <f t="shared" si="7"/>
        <v>0</v>
      </c>
      <c r="P22" s="6">
        <v>300</v>
      </c>
      <c r="T22" s="6">
        <f t="shared" si="8"/>
        <v>0</v>
      </c>
      <c r="U22" s="6">
        <v>300</v>
      </c>
      <c r="W22" s="6">
        <f t="shared" si="9"/>
        <v>0</v>
      </c>
      <c r="X22" s="6">
        <v>600</v>
      </c>
    </row>
    <row r="23" spans="1:26" ht="15" customHeight="1" x14ac:dyDescent="0.25">
      <c r="A23" s="42" t="s">
        <v>87</v>
      </c>
      <c r="B23" s="1">
        <f>67.2+9+10.82+72.8</f>
        <v>159.82</v>
      </c>
      <c r="C23" s="1">
        <f>43.44+89.6+22.5</f>
        <v>155.54</v>
      </c>
      <c r="D23" s="1">
        <v>33.6</v>
      </c>
      <c r="E23" s="6">
        <f t="shared" si="10"/>
        <v>348.96000000000004</v>
      </c>
      <c r="F23" s="6">
        <v>700</v>
      </c>
      <c r="G23" s="1">
        <v>100.8</v>
      </c>
      <c r="H23" s="1">
        <f>18.32+61.6+18.21</f>
        <v>98.13</v>
      </c>
      <c r="I23" s="1">
        <f>11.2+25</f>
        <v>36.200000000000003</v>
      </c>
      <c r="J23" s="6">
        <f t="shared" si="6"/>
        <v>235.13</v>
      </c>
      <c r="K23" s="6">
        <v>700</v>
      </c>
      <c r="L23" s="1">
        <v>112</v>
      </c>
      <c r="M23" s="1">
        <f>56</f>
        <v>56</v>
      </c>
      <c r="N23" s="1">
        <f>145.6+89.6+32.19</f>
        <v>267.39</v>
      </c>
      <c r="O23" s="6">
        <f t="shared" si="7"/>
        <v>435.39</v>
      </c>
      <c r="P23" s="6">
        <v>700</v>
      </c>
      <c r="Q23" s="1">
        <f>39.2+11.2</f>
        <v>50.400000000000006</v>
      </c>
      <c r="R23" s="1">
        <f>93.77+33.6+18.85+9.62</f>
        <v>155.84</v>
      </c>
      <c r="S23" s="1">
        <f>84+13.95+11.75</f>
        <v>109.7</v>
      </c>
      <c r="T23" s="6">
        <f t="shared" si="8"/>
        <v>315.94</v>
      </c>
      <c r="U23" s="6">
        <v>700</v>
      </c>
      <c r="W23" s="6">
        <f t="shared" si="9"/>
        <v>1335.42</v>
      </c>
      <c r="X23" s="6">
        <v>2800</v>
      </c>
    </row>
    <row r="24" spans="1:26" ht="15" customHeight="1" x14ac:dyDescent="0.25">
      <c r="A24" s="42" t="s">
        <v>94</v>
      </c>
      <c r="B24" s="1">
        <v>178.54</v>
      </c>
      <c r="E24" s="6">
        <f t="shared" si="10"/>
        <v>178.54</v>
      </c>
      <c r="F24" s="6">
        <v>190</v>
      </c>
      <c r="J24" s="6">
        <f t="shared" si="6"/>
        <v>0</v>
      </c>
      <c r="K24" s="6"/>
      <c r="O24" s="6">
        <f t="shared" si="7"/>
        <v>0</v>
      </c>
      <c r="P24" s="6"/>
      <c r="R24" s="40"/>
      <c r="T24" s="6">
        <f t="shared" si="8"/>
        <v>0</v>
      </c>
      <c r="U24" s="6"/>
      <c r="W24" s="6">
        <f t="shared" si="9"/>
        <v>178.54</v>
      </c>
      <c r="X24" s="6">
        <v>190</v>
      </c>
    </row>
    <row r="25" spans="1:26" ht="15" customHeight="1" x14ac:dyDescent="0.25">
      <c r="A25" s="42" t="s">
        <v>88</v>
      </c>
      <c r="E25" s="6">
        <f t="shared" si="10"/>
        <v>0</v>
      </c>
      <c r="F25" s="6">
        <v>80</v>
      </c>
      <c r="J25" s="6">
        <f t="shared" si="6"/>
        <v>0</v>
      </c>
      <c r="K25" s="6">
        <v>80</v>
      </c>
      <c r="O25" s="6">
        <f t="shared" si="7"/>
        <v>0</v>
      </c>
      <c r="P25" s="6"/>
      <c r="T25" s="6">
        <f t="shared" si="8"/>
        <v>0</v>
      </c>
      <c r="U25" s="6"/>
      <c r="W25" s="6">
        <f t="shared" si="9"/>
        <v>0</v>
      </c>
      <c r="X25" s="6">
        <v>160</v>
      </c>
    </row>
    <row r="26" spans="1:26" ht="15" customHeight="1" x14ac:dyDescent="0.25">
      <c r="A26" s="44" t="s">
        <v>117</v>
      </c>
      <c r="X26" s="46"/>
    </row>
    <row r="27" spans="1:26" ht="15" customHeight="1" x14ac:dyDescent="0.25">
      <c r="A27" s="47" t="s">
        <v>118</v>
      </c>
      <c r="E27" s="6">
        <f t="shared" si="10"/>
        <v>0</v>
      </c>
      <c r="F27" s="6">
        <v>400</v>
      </c>
      <c r="J27" s="6">
        <f t="shared" si="6"/>
        <v>0</v>
      </c>
      <c r="K27" s="6">
        <v>400</v>
      </c>
      <c r="O27" s="6">
        <f t="shared" si="7"/>
        <v>0</v>
      </c>
      <c r="P27" s="6">
        <v>400</v>
      </c>
      <c r="S27" s="1">
        <v>2185.73</v>
      </c>
      <c r="T27" s="6">
        <f t="shared" si="8"/>
        <v>2185.73</v>
      </c>
      <c r="U27" s="6">
        <v>400</v>
      </c>
      <c r="W27" s="6">
        <f t="shared" si="9"/>
        <v>2185.73</v>
      </c>
      <c r="X27" s="6">
        <v>1600</v>
      </c>
      <c r="Z27" s="37"/>
    </row>
    <row r="28" spans="1:26" ht="15" customHeight="1" x14ac:dyDescent="0.25">
      <c r="A28" s="44" t="s">
        <v>77</v>
      </c>
      <c r="X28" s="46"/>
      <c r="Z28" s="21"/>
    </row>
    <row r="29" spans="1:26" ht="15" customHeight="1" x14ac:dyDescent="0.25">
      <c r="A29" s="42" t="s">
        <v>89</v>
      </c>
      <c r="B29" s="1">
        <f>28+20.41+106.4</f>
        <v>154.81</v>
      </c>
      <c r="C29" s="1">
        <f>95.2+42.37</f>
        <v>137.57</v>
      </c>
      <c r="D29" s="1">
        <f>319.2+40.22+39.51</f>
        <v>398.92999999999995</v>
      </c>
      <c r="E29" s="6">
        <f t="shared" si="10"/>
        <v>691.31</v>
      </c>
      <c r="F29" s="6">
        <v>1000</v>
      </c>
      <c r="G29" s="1">
        <f>173.6+35.33</f>
        <v>208.93</v>
      </c>
      <c r="H29" s="1">
        <f>240.8+42.22</f>
        <v>283.02</v>
      </c>
      <c r="I29" s="1">
        <f>375.2+41.45+41.62</f>
        <v>458.27</v>
      </c>
      <c r="J29" s="6">
        <f t="shared" si="6"/>
        <v>950.22</v>
      </c>
      <c r="K29" s="6">
        <v>1000</v>
      </c>
      <c r="L29" s="1">
        <f>70+41.4+285.6+9</f>
        <v>406</v>
      </c>
      <c r="M29" s="1">
        <f>123.2+34.4</f>
        <v>157.6</v>
      </c>
      <c r="O29" s="6">
        <f t="shared" si="7"/>
        <v>563.6</v>
      </c>
      <c r="P29" s="6">
        <v>400</v>
      </c>
      <c r="S29" s="1">
        <v>38.19</v>
      </c>
      <c r="T29" s="6">
        <f t="shared" si="8"/>
        <v>38.19</v>
      </c>
      <c r="U29" s="6"/>
      <c r="W29" s="6">
        <f t="shared" si="9"/>
        <v>2243.3200000000002</v>
      </c>
      <c r="X29" s="6">
        <v>2400</v>
      </c>
      <c r="Z29" s="21"/>
    </row>
    <row r="30" spans="1:26" ht="15" customHeight="1" x14ac:dyDescent="0.25">
      <c r="A30" s="42" t="s">
        <v>90</v>
      </c>
      <c r="B30" s="1">
        <f>362.97+11.2</f>
        <v>374.17</v>
      </c>
      <c r="C30" s="1">
        <f>39.2+12.5</f>
        <v>51.7</v>
      </c>
      <c r="E30" s="6">
        <f t="shared" si="10"/>
        <v>425.87</v>
      </c>
      <c r="F30" s="6">
        <v>400</v>
      </c>
      <c r="G30" s="1">
        <v>11.2</v>
      </c>
      <c r="H30" s="1">
        <f>179.44+98.1</f>
        <v>277.53999999999996</v>
      </c>
      <c r="I30" s="1">
        <f>180+41.66</f>
        <v>221.66</v>
      </c>
      <c r="J30" s="6">
        <f t="shared" si="6"/>
        <v>510.4</v>
      </c>
      <c r="K30" s="6">
        <v>400</v>
      </c>
      <c r="M30" s="1">
        <f>86.85+22.4+3.79+15.82</f>
        <v>128.86000000000001</v>
      </c>
      <c r="O30" s="6">
        <f t="shared" si="7"/>
        <v>128.86000000000001</v>
      </c>
      <c r="P30" s="6"/>
      <c r="R30" s="1">
        <v>11.2</v>
      </c>
      <c r="T30" s="6">
        <f t="shared" si="8"/>
        <v>11.2</v>
      </c>
      <c r="U30" s="6"/>
      <c r="W30" s="6">
        <f t="shared" si="9"/>
        <v>1076.3300000000002</v>
      </c>
      <c r="X30" s="6">
        <v>800</v>
      </c>
      <c r="Z30" s="37"/>
    </row>
    <row r="31" spans="1:26" ht="15" customHeight="1" x14ac:dyDescent="0.25">
      <c r="A31" s="42" t="s">
        <v>78</v>
      </c>
      <c r="B31" s="1">
        <f>197.6+44.8+552</f>
        <v>794.4</v>
      </c>
      <c r="C31" s="1">
        <v>45</v>
      </c>
      <c r="D31" s="1">
        <f>56+220.7</f>
        <v>276.7</v>
      </c>
      <c r="E31" s="6">
        <f t="shared" si="10"/>
        <v>1116.0999999999999</v>
      </c>
      <c r="F31" s="6">
        <v>3200</v>
      </c>
      <c r="G31" s="1">
        <v>11.2</v>
      </c>
      <c r="H31" s="35">
        <v>22.4</v>
      </c>
      <c r="I31" s="1">
        <v>22.4</v>
      </c>
      <c r="J31" s="6">
        <f t="shared" si="6"/>
        <v>55.999999999999993</v>
      </c>
      <c r="K31" s="6">
        <v>200</v>
      </c>
      <c r="L31" s="1">
        <v>11.2</v>
      </c>
      <c r="N31" s="1">
        <f>11.2+39.2+18.86</f>
        <v>69.260000000000005</v>
      </c>
      <c r="O31" s="6">
        <f t="shared" si="7"/>
        <v>80.460000000000008</v>
      </c>
      <c r="P31" s="6">
        <v>200</v>
      </c>
      <c r="R31" s="1">
        <f>45+5.6</f>
        <v>50.6</v>
      </c>
      <c r="T31" s="6">
        <f t="shared" si="8"/>
        <v>50.6</v>
      </c>
      <c r="U31" s="6">
        <v>200</v>
      </c>
      <c r="W31" s="6">
        <f t="shared" si="9"/>
        <v>1303.1599999999999</v>
      </c>
      <c r="X31" s="6">
        <v>3800</v>
      </c>
    </row>
    <row r="32" spans="1:26" ht="15" customHeight="1" x14ac:dyDescent="0.25">
      <c r="A32" s="42" t="s">
        <v>79</v>
      </c>
      <c r="B32" s="1">
        <v>128.80000000000001</v>
      </c>
      <c r="C32" s="1">
        <v>218.4</v>
      </c>
      <c r="D32" s="1">
        <v>90</v>
      </c>
      <c r="E32" s="6">
        <f t="shared" si="10"/>
        <v>437.20000000000005</v>
      </c>
      <c r="F32" s="6"/>
      <c r="J32" s="6">
        <f t="shared" si="6"/>
        <v>0</v>
      </c>
      <c r="K32" s="6"/>
      <c r="N32" s="1">
        <v>11.2</v>
      </c>
      <c r="O32" s="6">
        <f t="shared" si="7"/>
        <v>11.2</v>
      </c>
      <c r="P32" s="6">
        <v>1000</v>
      </c>
      <c r="Q32" s="1">
        <v>112</v>
      </c>
      <c r="R32" s="1">
        <v>403.2</v>
      </c>
      <c r="S32" s="1">
        <v>22.4</v>
      </c>
      <c r="T32" s="6">
        <f t="shared" si="8"/>
        <v>537.6</v>
      </c>
      <c r="U32" s="6">
        <v>1000</v>
      </c>
      <c r="W32" s="6">
        <f t="shared" si="9"/>
        <v>986</v>
      </c>
      <c r="X32" s="6">
        <v>2000</v>
      </c>
    </row>
    <row r="33" spans="1:24" ht="15" customHeight="1" x14ac:dyDescent="0.25">
      <c r="A33" s="47" t="s">
        <v>112</v>
      </c>
      <c r="E33" s="6"/>
      <c r="F33" s="6"/>
      <c r="J33" s="6"/>
      <c r="K33" s="6"/>
      <c r="L33" s="1">
        <f>2000+33.6</f>
        <v>2033.6</v>
      </c>
      <c r="O33" s="6">
        <f t="shared" si="7"/>
        <v>2033.6</v>
      </c>
      <c r="P33" s="6"/>
      <c r="S33" s="1">
        <v>127.95</v>
      </c>
      <c r="T33" s="6">
        <f t="shared" si="8"/>
        <v>127.95</v>
      </c>
      <c r="U33" s="6"/>
      <c r="W33" s="6">
        <f t="shared" si="9"/>
        <v>2161.5499999999997</v>
      </c>
      <c r="X33" s="6"/>
    </row>
    <row r="34" spans="1:24" ht="15" customHeight="1" x14ac:dyDescent="0.25">
      <c r="A34" s="47" t="s">
        <v>98</v>
      </c>
      <c r="B34" s="1">
        <v>60</v>
      </c>
      <c r="C34" s="1">
        <v>60</v>
      </c>
      <c r="D34" s="1">
        <v>60</v>
      </c>
      <c r="E34" s="6">
        <f t="shared" si="10"/>
        <v>180</v>
      </c>
      <c r="F34" s="6">
        <v>250</v>
      </c>
      <c r="G34" s="1">
        <v>60</v>
      </c>
      <c r="H34" s="1">
        <v>60</v>
      </c>
      <c r="I34" s="1">
        <v>60</v>
      </c>
      <c r="J34" s="6">
        <f t="shared" si="6"/>
        <v>180</v>
      </c>
      <c r="K34" s="6">
        <v>250</v>
      </c>
      <c r="L34" s="1">
        <v>60</v>
      </c>
      <c r="M34" s="1">
        <v>60</v>
      </c>
      <c r="N34" s="1">
        <v>60</v>
      </c>
      <c r="O34" s="6">
        <f t="shared" si="7"/>
        <v>180</v>
      </c>
      <c r="P34" s="6">
        <v>250</v>
      </c>
      <c r="Q34" s="1">
        <v>60</v>
      </c>
      <c r="R34" s="40">
        <v>60</v>
      </c>
      <c r="S34" s="1">
        <v>60</v>
      </c>
      <c r="T34" s="6">
        <f t="shared" si="8"/>
        <v>180</v>
      </c>
      <c r="U34" s="6">
        <v>250</v>
      </c>
      <c r="W34" s="6">
        <f t="shared" si="9"/>
        <v>720</v>
      </c>
      <c r="X34" s="6">
        <v>1000</v>
      </c>
    </row>
    <row r="35" spans="1:24" ht="15" customHeight="1" x14ac:dyDescent="0.25">
      <c r="A35" s="42" t="s">
        <v>95</v>
      </c>
      <c r="B35" s="1">
        <v>20.7</v>
      </c>
      <c r="C35" s="1">
        <f>75.65</f>
        <v>75.650000000000006</v>
      </c>
      <c r="D35" s="1">
        <f>11.2+134.4+100</f>
        <v>245.6</v>
      </c>
      <c r="E35" s="6">
        <f t="shared" si="10"/>
        <v>341.95</v>
      </c>
      <c r="F35" s="6">
        <v>250</v>
      </c>
      <c r="H35" s="1">
        <f>22.4+67.2+38</f>
        <v>127.6</v>
      </c>
      <c r="J35" s="6">
        <f t="shared" si="6"/>
        <v>127.6</v>
      </c>
      <c r="K35" s="6">
        <v>250</v>
      </c>
      <c r="L35" s="1">
        <v>33.6</v>
      </c>
      <c r="N35" s="1">
        <f>11.87</f>
        <v>11.87</v>
      </c>
      <c r="O35" s="6">
        <f t="shared" si="7"/>
        <v>45.47</v>
      </c>
      <c r="P35" s="6">
        <v>250</v>
      </c>
      <c r="S35" s="1">
        <v>195</v>
      </c>
      <c r="T35" s="6">
        <f>Q35+R35+S35</f>
        <v>195</v>
      </c>
      <c r="U35" s="6">
        <v>250</v>
      </c>
      <c r="W35" s="6">
        <f t="shared" si="9"/>
        <v>710.02</v>
      </c>
      <c r="X35" s="6">
        <v>1000</v>
      </c>
    </row>
    <row r="36" spans="1:24" ht="15" customHeight="1" x14ac:dyDescent="0.25">
      <c r="A36" s="44" t="s">
        <v>80</v>
      </c>
      <c r="X36" s="46"/>
    </row>
    <row r="37" spans="1:24" x14ac:dyDescent="0.25">
      <c r="A37" s="42" t="s">
        <v>91</v>
      </c>
      <c r="E37" s="6">
        <f t="shared" si="10"/>
        <v>0</v>
      </c>
      <c r="F37" s="6">
        <v>100</v>
      </c>
      <c r="J37" s="6">
        <f t="shared" si="6"/>
        <v>0</v>
      </c>
      <c r="K37" s="6">
        <v>100</v>
      </c>
      <c r="O37" s="6">
        <f t="shared" si="7"/>
        <v>0</v>
      </c>
      <c r="P37" s="6">
        <v>100</v>
      </c>
      <c r="T37" s="6">
        <f t="shared" si="8"/>
        <v>0</v>
      </c>
      <c r="U37" s="6"/>
      <c r="W37" s="6">
        <f t="shared" si="9"/>
        <v>0</v>
      </c>
      <c r="X37" s="6">
        <v>300</v>
      </c>
    </row>
    <row r="38" spans="1:24" x14ac:dyDescent="0.25">
      <c r="A38" s="38"/>
    </row>
    <row r="39" spans="1:24" ht="15.6" x14ac:dyDescent="0.25">
      <c r="A39" s="39" t="s">
        <v>81</v>
      </c>
      <c r="B39" s="1">
        <f t="shared" ref="B39:U39" si="11">SUM(B13:B37)</f>
        <v>2865.98</v>
      </c>
      <c r="C39" s="1">
        <f t="shared" si="11"/>
        <v>2261.06</v>
      </c>
      <c r="D39" s="1">
        <f t="shared" si="11"/>
        <v>2660.9099999999994</v>
      </c>
      <c r="E39" s="6">
        <f t="shared" si="11"/>
        <v>7787.9499999999989</v>
      </c>
      <c r="F39" s="6">
        <f t="shared" si="11"/>
        <v>12470</v>
      </c>
      <c r="G39" s="1">
        <f t="shared" si="11"/>
        <v>1369.51</v>
      </c>
      <c r="H39" s="1">
        <f t="shared" si="11"/>
        <v>2741.48</v>
      </c>
      <c r="I39" s="1">
        <f t="shared" si="11"/>
        <v>1374.4700000000003</v>
      </c>
      <c r="J39" s="6">
        <f t="shared" si="11"/>
        <v>5485.46</v>
      </c>
      <c r="K39" s="6">
        <f t="shared" si="11"/>
        <v>9580</v>
      </c>
      <c r="L39" s="1">
        <f t="shared" si="11"/>
        <v>5180.04</v>
      </c>
      <c r="M39" s="1">
        <f t="shared" si="11"/>
        <v>1726.06</v>
      </c>
      <c r="N39" s="1">
        <f t="shared" si="11"/>
        <v>688.5200000000001</v>
      </c>
      <c r="O39" s="6">
        <f t="shared" si="11"/>
        <v>7594.62</v>
      </c>
      <c r="P39" s="6">
        <f t="shared" si="11"/>
        <v>5200</v>
      </c>
      <c r="Q39" s="1">
        <f t="shared" si="11"/>
        <v>1326.3000000000002</v>
      </c>
      <c r="R39" s="1">
        <f t="shared" si="11"/>
        <v>775.65000000000009</v>
      </c>
      <c r="S39" s="1">
        <f t="shared" si="11"/>
        <v>2777.99</v>
      </c>
      <c r="T39" s="6">
        <f t="shared" si="11"/>
        <v>4879.9399999999996</v>
      </c>
      <c r="U39" s="6">
        <f t="shared" si="11"/>
        <v>4100</v>
      </c>
      <c r="W39" s="6">
        <f>SUM(W13:W37)</f>
        <v>25747.97</v>
      </c>
      <c r="X39" s="6">
        <f>SUM(X13:X37)</f>
        <v>31350</v>
      </c>
    </row>
    <row r="41" spans="1:24" x14ac:dyDescent="0.25">
      <c r="B41" s="3"/>
      <c r="C41" s="2"/>
      <c r="D41" s="3"/>
      <c r="E41" s="2"/>
      <c r="F41" s="3"/>
      <c r="G41" s="2"/>
      <c r="H41" s="3"/>
      <c r="I41" s="2"/>
      <c r="J41" s="3"/>
      <c r="K41" s="3"/>
    </row>
    <row r="42" spans="1:24" x14ac:dyDescent="0.25">
      <c r="B42" s="3"/>
      <c r="C42" s="2"/>
      <c r="D42" s="3"/>
      <c r="E42" s="2"/>
      <c r="F42" s="3"/>
      <c r="G42" s="2"/>
      <c r="H42" s="3"/>
      <c r="I42" s="2"/>
      <c r="J42" s="3"/>
      <c r="K42" s="3"/>
      <c r="S42" s="9"/>
    </row>
    <row r="43" spans="1:24" x14ac:dyDescent="0.25">
      <c r="B43" s="3"/>
      <c r="C43" s="2"/>
      <c r="D43" s="3"/>
      <c r="E43" s="2"/>
      <c r="F43" s="3"/>
      <c r="G43" s="2"/>
      <c r="H43" s="3"/>
      <c r="I43" s="2"/>
      <c r="J43" s="3"/>
      <c r="K43" s="3"/>
      <c r="S43" s="9"/>
    </row>
    <row r="44" spans="1:24" x14ac:dyDescent="0.25">
      <c r="I44" s="21"/>
      <c r="S44" s="9"/>
    </row>
    <row r="45" spans="1:24" x14ac:dyDescent="0.25">
      <c r="S45" s="10"/>
    </row>
    <row r="46" spans="1:24" x14ac:dyDescent="0.25">
      <c r="P46" s="21"/>
      <c r="S46" s="10"/>
    </row>
    <row r="47" spans="1:24" x14ac:dyDescent="0.25">
      <c r="S47" s="10"/>
    </row>
    <row r="48" spans="1:24" x14ac:dyDescent="0.25">
      <c r="S48" s="10"/>
    </row>
    <row r="49" spans="19:19" x14ac:dyDescent="0.25">
      <c r="S49" s="10"/>
    </row>
  </sheetData>
  <mergeCells count="1">
    <mergeCell ref="A1:X1"/>
  </mergeCells>
  <phoneticPr fontId="4" type="noConversion"/>
  <printOptions headings="1" gridLines="1"/>
  <pageMargins left="0.75" right="0.75" top="1" bottom="1" header="0.5" footer="0.5"/>
  <pageSetup paperSize="9" scale="44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zoomScale="80" zoomScaleNormal="80" workbookViewId="0">
      <selection activeCell="G29" sqref="G29"/>
    </sheetView>
  </sheetViews>
  <sheetFormatPr defaultColWidth="8.90625" defaultRowHeight="15" x14ac:dyDescent="0.25"/>
  <cols>
    <col min="1" max="1" width="25.81640625" style="24" bestFit="1" customWidth="1"/>
    <col min="2" max="15" width="8.81640625" style="1" customWidth="1"/>
    <col min="16" max="16" width="9.90625" style="1" customWidth="1"/>
    <col min="17" max="27" width="8.81640625" style="1" customWidth="1"/>
    <col min="28" max="28" width="8.90625" style="1"/>
    <col min="29" max="29" width="6.36328125" style="1" bestFit="1" customWidth="1"/>
    <col min="30" max="16384" width="8.90625" style="1"/>
  </cols>
  <sheetData>
    <row r="1" spans="1:27" ht="21" x14ac:dyDescent="0.4">
      <c r="A1" s="50" t="s">
        <v>109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8"/>
      <c r="Z1" s="8"/>
      <c r="AA1" s="8"/>
    </row>
    <row r="2" spans="1:27" ht="26.4" x14ac:dyDescent="0.25">
      <c r="B2" s="2" t="s">
        <v>1</v>
      </c>
      <c r="C2" s="2" t="s">
        <v>2</v>
      </c>
      <c r="D2" s="2" t="s">
        <v>3</v>
      </c>
      <c r="E2" s="3" t="s">
        <v>25</v>
      </c>
      <c r="F2" s="2" t="s">
        <v>13</v>
      </c>
      <c r="G2" s="2" t="s">
        <v>4</v>
      </c>
      <c r="H2" s="2" t="s">
        <v>5</v>
      </c>
      <c r="I2" s="2" t="s">
        <v>6</v>
      </c>
      <c r="J2" s="3" t="s">
        <v>23</v>
      </c>
      <c r="K2" s="2" t="s">
        <v>14</v>
      </c>
      <c r="L2" s="2" t="s">
        <v>7</v>
      </c>
      <c r="M2" s="2" t="s">
        <v>8</v>
      </c>
      <c r="N2" s="2" t="s">
        <v>9</v>
      </c>
      <c r="O2" s="3" t="s">
        <v>24</v>
      </c>
      <c r="P2" s="2" t="s">
        <v>15</v>
      </c>
      <c r="Q2" s="2" t="s">
        <v>10</v>
      </c>
      <c r="R2" s="2" t="s">
        <v>11</v>
      </c>
      <c r="S2" s="2" t="s">
        <v>12</v>
      </c>
      <c r="T2" s="11" t="s">
        <v>41</v>
      </c>
      <c r="U2" s="2" t="s">
        <v>16</v>
      </c>
      <c r="V2" s="2"/>
      <c r="W2" s="3" t="s">
        <v>26</v>
      </c>
      <c r="X2" s="3" t="s">
        <v>22</v>
      </c>
    </row>
    <row r="3" spans="1:27" ht="15.6" x14ac:dyDescent="0.3">
      <c r="A3" s="1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7" x14ac:dyDescent="0.25">
      <c r="A4" s="26" t="s">
        <v>18</v>
      </c>
      <c r="B4" s="1">
        <v>1955</v>
      </c>
      <c r="E4" s="6">
        <f>B4+C4+D4</f>
        <v>1955</v>
      </c>
      <c r="F4" s="6">
        <v>1955</v>
      </c>
      <c r="J4" s="6">
        <f>G4+H4+I4</f>
        <v>0</v>
      </c>
      <c r="K4" s="6"/>
      <c r="O4" s="6">
        <f>L4+M4+N4</f>
        <v>0</v>
      </c>
      <c r="P4" s="6"/>
      <c r="T4" s="6">
        <f>Q4+R4+S4</f>
        <v>0</v>
      </c>
      <c r="U4" s="6"/>
      <c r="W4" s="6">
        <f>E4+J4+O4+T4</f>
        <v>1955</v>
      </c>
      <c r="X4" s="6">
        <v>1955</v>
      </c>
    </row>
    <row r="5" spans="1:27" x14ac:dyDescent="0.25">
      <c r="A5" s="43" t="s">
        <v>71</v>
      </c>
      <c r="E5" s="6">
        <f>B5+C5+D5</f>
        <v>0</v>
      </c>
      <c r="F5" s="6">
        <v>7</v>
      </c>
      <c r="J5" s="6">
        <f>G5+H5+I5</f>
        <v>0</v>
      </c>
      <c r="K5" s="6">
        <v>7</v>
      </c>
      <c r="O5" s="6">
        <f>L5+M5+N5</f>
        <v>0</v>
      </c>
      <c r="P5" s="6">
        <v>6</v>
      </c>
      <c r="T5" s="6">
        <f>Q5+R5+S5</f>
        <v>0</v>
      </c>
      <c r="U5" s="6"/>
      <c r="W5" s="6">
        <f>E5+J5+O5+T5</f>
        <v>0</v>
      </c>
      <c r="X5" s="6">
        <v>20</v>
      </c>
    </row>
    <row r="6" spans="1:27" x14ac:dyDescent="0.25">
      <c r="A6" s="43" t="s">
        <v>106</v>
      </c>
      <c r="E6" s="6"/>
      <c r="F6" s="6"/>
      <c r="I6" s="1">
        <v>24</v>
      </c>
      <c r="J6" s="6">
        <f>G6+H6+I6</f>
        <v>24</v>
      </c>
      <c r="K6" s="6"/>
      <c r="O6" s="6">
        <f t="shared" ref="O6:O7" si="0">L6+M6+N6</f>
        <v>0</v>
      </c>
      <c r="P6" s="6"/>
      <c r="T6" s="6">
        <f>Q6+R6+S6</f>
        <v>0</v>
      </c>
      <c r="U6" s="6"/>
      <c r="W6" s="6">
        <f>E6+J6+O6+T6</f>
        <v>24</v>
      </c>
      <c r="X6" s="6"/>
    </row>
    <row r="7" spans="1:27" x14ac:dyDescent="0.25">
      <c r="A7" s="43" t="s">
        <v>54</v>
      </c>
      <c r="C7" s="1">
        <f>54+28</f>
        <v>82</v>
      </c>
      <c r="D7" s="1">
        <f>22.5+60+22.5+40+40+60+40+40+22.5+54+162</f>
        <v>563.5</v>
      </c>
      <c r="E7" s="6">
        <f>B7+C7+D7</f>
        <v>645.5</v>
      </c>
      <c r="F7" s="6">
        <v>833</v>
      </c>
      <c r="H7" s="1">
        <f>54+22.5+28</f>
        <v>104.5</v>
      </c>
      <c r="I7" s="1">
        <f>54+42+54+22.5+40+54+60+60+40</f>
        <v>426.5</v>
      </c>
      <c r="J7" s="6">
        <f t="shared" ref="J7" si="1">G7+H7+I7</f>
        <v>531</v>
      </c>
      <c r="K7" s="6">
        <v>833</v>
      </c>
      <c r="L7" s="1">
        <f>54+22.5+22.5+40+40</f>
        <v>179</v>
      </c>
      <c r="M7" s="1">
        <v>22.5</v>
      </c>
      <c r="O7" s="6">
        <f t="shared" si="0"/>
        <v>201.5</v>
      </c>
      <c r="P7" s="6"/>
      <c r="Q7" s="1">
        <f>22.5+28</f>
        <v>50.5</v>
      </c>
      <c r="R7" s="1">
        <f>40+40+60+22.5+40+54+22.5+54</f>
        <v>333</v>
      </c>
      <c r="S7" s="1">
        <f>54+40+22.5+54</f>
        <v>170.5</v>
      </c>
      <c r="T7" s="6">
        <f>Q7+R7+S7</f>
        <v>554</v>
      </c>
      <c r="U7" s="6">
        <v>834</v>
      </c>
      <c r="W7" s="6">
        <f>E7+J7+O7+T7</f>
        <v>1932</v>
      </c>
      <c r="X7" s="6">
        <v>2500</v>
      </c>
    </row>
    <row r="8" spans="1:27" x14ac:dyDescent="0.25">
      <c r="A8" s="26"/>
    </row>
    <row r="9" spans="1:27" ht="15.6" x14ac:dyDescent="0.3">
      <c r="A9" s="13" t="s">
        <v>55</v>
      </c>
      <c r="B9" s="1">
        <f t="shared" ref="B9:U9" si="2">SUM(B4:B7)</f>
        <v>1955</v>
      </c>
      <c r="C9" s="1">
        <f t="shared" si="2"/>
        <v>82</v>
      </c>
      <c r="D9" s="1">
        <f t="shared" si="2"/>
        <v>563.5</v>
      </c>
      <c r="E9" s="6">
        <f t="shared" si="2"/>
        <v>2600.5</v>
      </c>
      <c r="F9" s="6">
        <f t="shared" si="2"/>
        <v>2795</v>
      </c>
      <c r="G9" s="1">
        <f t="shared" si="2"/>
        <v>0</v>
      </c>
      <c r="H9" s="1">
        <f t="shared" si="2"/>
        <v>104.5</v>
      </c>
      <c r="I9" s="1">
        <f t="shared" si="2"/>
        <v>450.5</v>
      </c>
      <c r="J9" s="6">
        <f t="shared" si="2"/>
        <v>555</v>
      </c>
      <c r="K9" s="6">
        <f t="shared" si="2"/>
        <v>840</v>
      </c>
      <c r="L9" s="1">
        <f t="shared" si="2"/>
        <v>179</v>
      </c>
      <c r="M9" s="1">
        <f t="shared" si="2"/>
        <v>22.5</v>
      </c>
      <c r="N9" s="1">
        <f t="shared" si="2"/>
        <v>0</v>
      </c>
      <c r="O9" s="6">
        <f t="shared" si="2"/>
        <v>201.5</v>
      </c>
      <c r="P9" s="6">
        <f t="shared" si="2"/>
        <v>6</v>
      </c>
      <c r="Q9" s="1">
        <f t="shared" si="2"/>
        <v>50.5</v>
      </c>
      <c r="R9" s="1">
        <f t="shared" si="2"/>
        <v>333</v>
      </c>
      <c r="S9" s="1">
        <f t="shared" si="2"/>
        <v>170.5</v>
      </c>
      <c r="T9" s="6">
        <f t="shared" si="2"/>
        <v>554</v>
      </c>
      <c r="U9" s="6">
        <f t="shared" si="2"/>
        <v>834</v>
      </c>
      <c r="W9" s="6">
        <f>SUM(W4:W7)</f>
        <v>3911</v>
      </c>
      <c r="X9" s="6">
        <f>SUM(X4:X7)</f>
        <v>4475</v>
      </c>
    </row>
    <row r="11" spans="1:27" ht="15.6" x14ac:dyDescent="0.3">
      <c r="A11" s="13" t="s">
        <v>27</v>
      </c>
    </row>
    <row r="12" spans="1:27" x14ac:dyDescent="0.25">
      <c r="A12" s="43" t="s">
        <v>58</v>
      </c>
      <c r="B12" s="1">
        <v>599</v>
      </c>
      <c r="E12" s="6">
        <f t="shared" ref="E12:E19" si="3">B12+C12+D12</f>
        <v>599</v>
      </c>
      <c r="F12" s="6">
        <v>600</v>
      </c>
      <c r="I12" s="1">
        <v>599</v>
      </c>
      <c r="J12" s="6">
        <f t="shared" ref="J12:J19" si="4">G12+H12+I12</f>
        <v>599</v>
      </c>
      <c r="K12" s="6">
        <v>600</v>
      </c>
      <c r="N12" s="1">
        <v>599</v>
      </c>
      <c r="O12" s="6">
        <f t="shared" ref="O12:O20" si="5">L12+M12+N12</f>
        <v>599</v>
      </c>
      <c r="P12" s="6">
        <v>600</v>
      </c>
      <c r="T12" s="6">
        <f t="shared" ref="T12:T19" si="6">Q12+R12+S12</f>
        <v>0</v>
      </c>
      <c r="U12" s="6"/>
      <c r="W12" s="6">
        <f t="shared" ref="W12:W19" si="7">E12+J12+O12+T12</f>
        <v>1797</v>
      </c>
      <c r="X12" s="6">
        <v>1800</v>
      </c>
    </row>
    <row r="13" spans="1:27" x14ac:dyDescent="0.25">
      <c r="A13" s="43" t="s">
        <v>59</v>
      </c>
      <c r="E13" s="6">
        <f t="shared" si="3"/>
        <v>0</v>
      </c>
      <c r="F13" s="6">
        <v>75</v>
      </c>
      <c r="G13" s="1">
        <v>75</v>
      </c>
      <c r="J13" s="6">
        <f t="shared" si="4"/>
        <v>75</v>
      </c>
      <c r="K13" s="6">
        <v>75</v>
      </c>
      <c r="O13" s="6">
        <f t="shared" si="5"/>
        <v>0</v>
      </c>
      <c r="P13" s="6">
        <v>75</v>
      </c>
      <c r="T13" s="6">
        <f t="shared" si="6"/>
        <v>0</v>
      </c>
      <c r="U13" s="6"/>
      <c r="W13" s="6">
        <f t="shared" si="7"/>
        <v>75</v>
      </c>
      <c r="X13" s="6">
        <v>225</v>
      </c>
    </row>
    <row r="14" spans="1:27" x14ac:dyDescent="0.25">
      <c r="A14" s="43" t="s">
        <v>62</v>
      </c>
      <c r="B14" s="1">
        <v>150</v>
      </c>
      <c r="E14" s="6">
        <f t="shared" si="3"/>
        <v>150</v>
      </c>
      <c r="F14" s="6">
        <v>150</v>
      </c>
      <c r="H14" s="1">
        <v>150</v>
      </c>
      <c r="J14" s="6">
        <f t="shared" si="4"/>
        <v>150</v>
      </c>
      <c r="K14" s="6">
        <v>150</v>
      </c>
      <c r="M14" s="1">
        <v>150</v>
      </c>
      <c r="O14" s="6">
        <f t="shared" si="5"/>
        <v>150</v>
      </c>
      <c r="P14" s="6">
        <v>150</v>
      </c>
      <c r="S14" s="1">
        <v>150</v>
      </c>
      <c r="T14" s="6">
        <f t="shared" si="6"/>
        <v>150</v>
      </c>
      <c r="U14" s="6">
        <v>150</v>
      </c>
      <c r="W14" s="6">
        <f t="shared" si="7"/>
        <v>600</v>
      </c>
      <c r="X14" s="6">
        <v>600</v>
      </c>
    </row>
    <row r="15" spans="1:27" x14ac:dyDescent="0.25">
      <c r="A15" s="43" t="s">
        <v>40</v>
      </c>
      <c r="E15" s="6">
        <f t="shared" si="3"/>
        <v>0</v>
      </c>
      <c r="F15" s="6">
        <v>100</v>
      </c>
      <c r="J15" s="6">
        <f t="shared" si="4"/>
        <v>0</v>
      </c>
      <c r="K15" s="6">
        <v>100</v>
      </c>
      <c r="N15" s="1">
        <v>148</v>
      </c>
      <c r="O15" s="6">
        <f t="shared" si="5"/>
        <v>148</v>
      </c>
      <c r="P15" s="6">
        <v>50</v>
      </c>
      <c r="R15" s="1">
        <f>4.17+4.69+60.8</f>
        <v>69.66</v>
      </c>
      <c r="T15" s="6">
        <f t="shared" si="6"/>
        <v>69.66</v>
      </c>
      <c r="U15" s="6"/>
      <c r="W15" s="6">
        <f t="shared" si="7"/>
        <v>217.66</v>
      </c>
      <c r="X15" s="6">
        <v>250</v>
      </c>
    </row>
    <row r="16" spans="1:27" x14ac:dyDescent="0.25">
      <c r="A16" s="43" t="s">
        <v>57</v>
      </c>
      <c r="D16" s="1">
        <f>10.99+39.99</f>
        <v>50.980000000000004</v>
      </c>
      <c r="E16" s="6">
        <f t="shared" si="3"/>
        <v>50.980000000000004</v>
      </c>
      <c r="F16" s="6"/>
      <c r="H16" s="1">
        <v>23.98</v>
      </c>
      <c r="J16" s="6">
        <f t="shared" si="4"/>
        <v>23.98</v>
      </c>
      <c r="K16" s="6"/>
      <c r="O16" s="6">
        <f t="shared" si="5"/>
        <v>0</v>
      </c>
      <c r="P16" s="6"/>
      <c r="R16" s="1">
        <f>102+24</f>
        <v>126</v>
      </c>
      <c r="T16" s="6">
        <f t="shared" si="6"/>
        <v>126</v>
      </c>
      <c r="U16" s="6">
        <v>150</v>
      </c>
      <c r="W16" s="6">
        <f t="shared" si="7"/>
        <v>200.96</v>
      </c>
      <c r="X16" s="6">
        <v>150</v>
      </c>
    </row>
    <row r="17" spans="1:24" x14ac:dyDescent="0.25">
      <c r="A17" s="34" t="s">
        <v>92</v>
      </c>
      <c r="E17" s="6">
        <f t="shared" si="3"/>
        <v>0</v>
      </c>
      <c r="F17" s="6"/>
      <c r="J17" s="6">
        <f t="shared" si="4"/>
        <v>0</v>
      </c>
      <c r="K17" s="6"/>
      <c r="O17" s="6">
        <f t="shared" si="5"/>
        <v>0</v>
      </c>
      <c r="P17" s="6">
        <v>50</v>
      </c>
      <c r="Q17" s="1">
        <v>37.5</v>
      </c>
      <c r="T17" s="6">
        <f t="shared" si="6"/>
        <v>37.5</v>
      </c>
      <c r="U17" s="6"/>
      <c r="W17" s="6">
        <f t="shared" si="7"/>
        <v>37.5</v>
      </c>
      <c r="X17" s="6">
        <v>50</v>
      </c>
    </row>
    <row r="18" spans="1:24" x14ac:dyDescent="0.25">
      <c r="A18" s="34" t="s">
        <v>103</v>
      </c>
      <c r="D18" s="1">
        <v>174</v>
      </c>
      <c r="E18" s="6">
        <f t="shared" si="3"/>
        <v>174</v>
      </c>
      <c r="F18" s="6"/>
      <c r="G18" s="1">
        <v>65.260000000000005</v>
      </c>
      <c r="J18" s="6">
        <f t="shared" si="4"/>
        <v>65.260000000000005</v>
      </c>
      <c r="K18" s="6"/>
      <c r="O18" s="6"/>
      <c r="P18" s="6"/>
      <c r="T18" s="6"/>
      <c r="U18" s="6"/>
      <c r="W18" s="6">
        <f t="shared" si="7"/>
        <v>239.26</v>
      </c>
      <c r="X18" s="6"/>
    </row>
    <row r="19" spans="1:24" x14ac:dyDescent="0.25">
      <c r="A19" s="34" t="s">
        <v>99</v>
      </c>
      <c r="B19" s="1">
        <v>172.7</v>
      </c>
      <c r="C19" s="1">
        <v>157</v>
      </c>
      <c r="E19" s="6">
        <f t="shared" si="3"/>
        <v>329.7</v>
      </c>
      <c r="F19" s="6">
        <v>350</v>
      </c>
      <c r="J19" s="6">
        <f t="shared" si="4"/>
        <v>0</v>
      </c>
      <c r="K19" s="6">
        <v>350</v>
      </c>
      <c r="N19" s="1">
        <v>260</v>
      </c>
      <c r="O19" s="6">
        <f t="shared" si="5"/>
        <v>260</v>
      </c>
      <c r="P19" s="6">
        <v>350</v>
      </c>
      <c r="T19" s="6">
        <f t="shared" si="6"/>
        <v>0</v>
      </c>
      <c r="U19" s="6">
        <v>350</v>
      </c>
      <c r="W19" s="6">
        <f t="shared" si="7"/>
        <v>589.70000000000005</v>
      </c>
      <c r="X19" s="6">
        <v>1400</v>
      </c>
    </row>
    <row r="20" spans="1:24" x14ac:dyDescent="0.25">
      <c r="A20" s="34" t="s">
        <v>93</v>
      </c>
      <c r="E20" s="6">
        <f>B20+C20+D20</f>
        <v>0</v>
      </c>
      <c r="F20" s="6">
        <v>250</v>
      </c>
      <c r="I20" s="1">
        <v>260</v>
      </c>
      <c r="J20" s="6">
        <f>G20+H20+I20</f>
        <v>260</v>
      </c>
      <c r="K20" s="6">
        <v>250</v>
      </c>
      <c r="M20" s="1">
        <v>260</v>
      </c>
      <c r="O20" s="6">
        <f t="shared" si="5"/>
        <v>260</v>
      </c>
      <c r="P20" s="6">
        <v>250</v>
      </c>
      <c r="T20" s="6">
        <f>Q20+R20+S20</f>
        <v>0</v>
      </c>
      <c r="U20" s="6">
        <v>250</v>
      </c>
      <c r="W20" s="6">
        <f>E20+J20+O20+T20</f>
        <v>520</v>
      </c>
      <c r="X20" s="6">
        <v>1000</v>
      </c>
    </row>
    <row r="21" spans="1:24" x14ac:dyDescent="0.25">
      <c r="A21" s="26"/>
      <c r="X21" s="27"/>
    </row>
    <row r="22" spans="1:24" ht="15.6" x14ac:dyDescent="0.3">
      <c r="A22" s="13" t="s">
        <v>56</v>
      </c>
      <c r="B22" s="1">
        <f t="shared" ref="B22:U22" si="8">SUM(B12:B20)</f>
        <v>921.7</v>
      </c>
      <c r="C22" s="1">
        <f t="shared" si="8"/>
        <v>157</v>
      </c>
      <c r="D22" s="1">
        <f t="shared" si="8"/>
        <v>224.98000000000002</v>
      </c>
      <c r="E22" s="6">
        <f t="shared" si="8"/>
        <v>1303.68</v>
      </c>
      <c r="F22" s="6">
        <f t="shared" si="8"/>
        <v>1525</v>
      </c>
      <c r="G22" s="6">
        <f t="shared" si="8"/>
        <v>140.26</v>
      </c>
      <c r="H22" s="6">
        <f t="shared" si="8"/>
        <v>173.98</v>
      </c>
      <c r="I22" s="6">
        <f t="shared" si="8"/>
        <v>859</v>
      </c>
      <c r="J22" s="6">
        <f t="shared" si="8"/>
        <v>1173.24</v>
      </c>
      <c r="K22" s="6">
        <f t="shared" si="8"/>
        <v>1525</v>
      </c>
      <c r="L22" s="6">
        <f t="shared" si="8"/>
        <v>0</v>
      </c>
      <c r="M22" s="6">
        <f t="shared" si="8"/>
        <v>410</v>
      </c>
      <c r="N22" s="6">
        <f t="shared" si="8"/>
        <v>1007</v>
      </c>
      <c r="O22" s="6">
        <f t="shared" si="8"/>
        <v>1417</v>
      </c>
      <c r="P22" s="6">
        <f t="shared" si="8"/>
        <v>1525</v>
      </c>
      <c r="Q22" s="6">
        <f t="shared" si="8"/>
        <v>37.5</v>
      </c>
      <c r="R22" s="6">
        <f t="shared" si="8"/>
        <v>195.66</v>
      </c>
      <c r="S22" s="6">
        <f t="shared" si="8"/>
        <v>150</v>
      </c>
      <c r="T22" s="6">
        <f t="shared" si="8"/>
        <v>383.15999999999997</v>
      </c>
      <c r="U22" s="6">
        <f t="shared" si="8"/>
        <v>900</v>
      </c>
      <c r="W22" s="6">
        <f>SUM(W12:W20)</f>
        <v>4277.08</v>
      </c>
      <c r="X22" s="6">
        <f>SUM(X12:X20)</f>
        <v>5475</v>
      </c>
    </row>
    <row r="24" spans="1:24" x14ac:dyDescent="0.25">
      <c r="B24" s="3"/>
      <c r="C24" s="2"/>
      <c r="D24" s="3"/>
      <c r="E24" s="2"/>
      <c r="F24" s="3"/>
      <c r="G24" s="2"/>
      <c r="H24" s="3"/>
      <c r="I24" s="2"/>
      <c r="J24" s="3"/>
      <c r="K24" s="3"/>
      <c r="P24" s="21"/>
    </row>
    <row r="25" spans="1:24" x14ac:dyDescent="0.25">
      <c r="B25" s="3"/>
      <c r="C25" s="2"/>
      <c r="D25" s="3"/>
      <c r="E25" s="2"/>
      <c r="F25" s="3"/>
      <c r="G25" s="2"/>
      <c r="H25" s="3"/>
      <c r="I25" s="2"/>
      <c r="J25" s="3"/>
      <c r="K25" s="3"/>
      <c r="S25" s="9"/>
    </row>
    <row r="26" spans="1:24" x14ac:dyDescent="0.25">
      <c r="A26" s="23"/>
      <c r="S26" s="9"/>
    </row>
    <row r="27" spans="1:24" x14ac:dyDescent="0.25">
      <c r="S27" s="10"/>
    </row>
    <row r="28" spans="1:24" x14ac:dyDescent="0.25">
      <c r="C28" s="21"/>
      <c r="S28" s="10"/>
    </row>
    <row r="29" spans="1:24" x14ac:dyDescent="0.25">
      <c r="S29" s="10"/>
    </row>
    <row r="30" spans="1:24" x14ac:dyDescent="0.25">
      <c r="S30" s="10"/>
    </row>
    <row r="31" spans="1:24" x14ac:dyDescent="0.25">
      <c r="S31" s="10"/>
    </row>
  </sheetData>
  <mergeCells count="1">
    <mergeCell ref="A1:X1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scale="4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F25" sqref="F25"/>
    </sheetView>
  </sheetViews>
  <sheetFormatPr defaultRowHeight="15" x14ac:dyDescent="0.25"/>
  <cols>
    <col min="1" max="1" width="10.54296875" bestFit="1" customWidth="1"/>
    <col min="2" max="2" width="1.81640625" customWidth="1"/>
    <col min="3" max="4" width="11.81640625" customWidth="1"/>
    <col min="5" max="5" width="1.81640625" customWidth="1"/>
    <col min="6" max="7" width="11.81640625" customWidth="1"/>
    <col min="8" max="8" width="1.81640625" customWidth="1"/>
    <col min="9" max="10" width="11.81640625" customWidth="1"/>
    <col min="11" max="11" width="1.81640625" customWidth="1"/>
    <col min="12" max="13" width="11.81640625" customWidth="1"/>
    <col min="14" max="14" width="1.81640625" customWidth="1"/>
    <col min="15" max="16" width="11.81640625" customWidth="1"/>
  </cols>
  <sheetData>
    <row r="1" spans="1:16" s="20" customFormat="1" ht="15.6" x14ac:dyDescent="0.3">
      <c r="A1" s="52" t="s">
        <v>119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s="20" customFormat="1" ht="15.6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6" x14ac:dyDescent="0.3">
      <c r="C3" s="52" t="s">
        <v>46</v>
      </c>
      <c r="D3" s="52"/>
      <c r="F3" s="52" t="s">
        <v>48</v>
      </c>
      <c r="G3" s="52"/>
      <c r="I3" s="52" t="s">
        <v>49</v>
      </c>
      <c r="J3" s="52"/>
      <c r="L3" s="51" t="s">
        <v>17</v>
      </c>
      <c r="M3" s="51"/>
      <c r="O3" s="52" t="s">
        <v>50</v>
      </c>
      <c r="P3" s="52"/>
    </row>
    <row r="4" spans="1:16" s="19" customFormat="1" ht="15.6" x14ac:dyDescent="0.3">
      <c r="A4" s="18"/>
      <c r="B4" s="18"/>
      <c r="C4" s="17" t="s">
        <v>45</v>
      </c>
      <c r="D4" s="13" t="s">
        <v>47</v>
      </c>
      <c r="E4" s="13"/>
      <c r="F4" s="17" t="s">
        <v>45</v>
      </c>
      <c r="G4" s="13" t="s">
        <v>47</v>
      </c>
      <c r="H4" s="13"/>
      <c r="I4" s="17" t="s">
        <v>45</v>
      </c>
      <c r="J4" s="13" t="s">
        <v>47</v>
      </c>
      <c r="K4" s="13"/>
      <c r="L4" s="17" t="s">
        <v>45</v>
      </c>
      <c r="M4" s="13" t="s">
        <v>47</v>
      </c>
      <c r="N4" s="13"/>
      <c r="O4" s="17" t="s">
        <v>45</v>
      </c>
      <c r="P4" s="17" t="s">
        <v>47</v>
      </c>
    </row>
    <row r="5" spans="1:16" x14ac:dyDescent="0.25">
      <c r="A5" s="1"/>
      <c r="B5" s="1"/>
      <c r="C5" s="3"/>
      <c r="D5" s="2"/>
      <c r="E5" s="2"/>
      <c r="F5" s="3"/>
      <c r="G5" s="2"/>
      <c r="H5" s="2"/>
      <c r="I5" s="3"/>
      <c r="J5" s="2"/>
      <c r="K5" s="2"/>
      <c r="L5" s="3"/>
      <c r="M5" s="2"/>
      <c r="N5" s="2"/>
      <c r="O5" s="3"/>
      <c r="P5" s="3"/>
    </row>
    <row r="6" spans="1:16" ht="15.6" x14ac:dyDescent="0.3">
      <c r="A6" s="7" t="s">
        <v>0</v>
      </c>
      <c r="B6" s="13"/>
      <c r="C6" s="3"/>
      <c r="D6" s="2"/>
      <c r="E6" s="2"/>
      <c r="F6" s="3"/>
      <c r="G6" s="2"/>
      <c r="H6" s="2"/>
      <c r="I6" s="3"/>
      <c r="J6" s="2"/>
      <c r="K6" s="2"/>
      <c r="L6" s="3"/>
      <c r="M6" s="2"/>
      <c r="N6" s="2"/>
      <c r="O6" s="3"/>
      <c r="P6" s="3"/>
    </row>
    <row r="7" spans="1:16" x14ac:dyDescent="0.25">
      <c r="A7" s="5" t="s">
        <v>42</v>
      </c>
      <c r="B7" s="1"/>
      <c r="C7" s="1">
        <f>'F&amp;GP'!E13</f>
        <v>16975.030000000002</v>
      </c>
      <c r="D7" s="1">
        <f>'F&amp;GP'!F13</f>
        <v>18270</v>
      </c>
      <c r="E7" s="1"/>
      <c r="F7" s="1">
        <f>'F&amp;GP'!J13</f>
        <v>1209.74</v>
      </c>
      <c r="G7" s="1">
        <f>'F&amp;GP'!K13</f>
        <v>1575</v>
      </c>
      <c r="H7" s="1"/>
      <c r="I7" s="1">
        <f>'F&amp;GP'!O13</f>
        <v>593.69000000000005</v>
      </c>
      <c r="J7" s="1">
        <f>'F&amp;GP'!P13</f>
        <v>1800</v>
      </c>
      <c r="K7" s="1"/>
      <c r="L7" s="1">
        <f>'F&amp;GP'!T13</f>
        <v>1476.0299999999997</v>
      </c>
      <c r="M7" s="1">
        <f>'F&amp;GP'!U13</f>
        <v>1500</v>
      </c>
      <c r="N7" s="1"/>
      <c r="O7" s="1">
        <f>'F&amp;GP'!W13</f>
        <v>20254.490000000002</v>
      </c>
      <c r="P7" s="1">
        <f>'F&amp;GP'!X13</f>
        <v>23145</v>
      </c>
    </row>
    <row r="8" spans="1:16" x14ac:dyDescent="0.25">
      <c r="A8" s="5" t="s">
        <v>43</v>
      </c>
      <c r="B8" s="1"/>
      <c r="C8" s="1">
        <f>'H&amp;OS'!E10</f>
        <v>21950</v>
      </c>
      <c r="D8" s="1">
        <f>'H&amp;OS'!F10</f>
        <v>21350</v>
      </c>
      <c r="E8" s="1"/>
      <c r="F8" s="1">
        <f>'H&amp;OS'!J10</f>
        <v>2809.05</v>
      </c>
      <c r="G8" s="1">
        <f>'H&amp;OS'!K10</f>
        <v>500</v>
      </c>
      <c r="H8" s="1"/>
      <c r="I8" s="1">
        <f>'H&amp;OS'!O10</f>
        <v>900</v>
      </c>
      <c r="J8" s="1">
        <f>'H&amp;OS'!P10</f>
        <v>3000</v>
      </c>
      <c r="K8" s="1"/>
      <c r="L8" s="1">
        <f>'H&amp;OS'!T10</f>
        <v>2150</v>
      </c>
      <c r="M8" s="1">
        <f>'H&amp;OS'!U10</f>
        <v>500</v>
      </c>
      <c r="N8" s="1"/>
      <c r="O8" s="1">
        <f>'H&amp;OS'!W10</f>
        <v>27809.05</v>
      </c>
      <c r="P8" s="1">
        <f>'H&amp;OS'!X10</f>
        <v>25350</v>
      </c>
    </row>
    <row r="9" spans="1:16" x14ac:dyDescent="0.25">
      <c r="A9" s="5" t="s">
        <v>44</v>
      </c>
      <c r="B9" s="1"/>
      <c r="C9" s="1">
        <f>'PR&amp;M'!E9</f>
        <v>2600.5</v>
      </c>
      <c r="D9" s="1">
        <f>'PR&amp;M'!F9</f>
        <v>2795</v>
      </c>
      <c r="E9" s="1"/>
      <c r="F9" s="1">
        <f>'PR&amp;M'!J9</f>
        <v>555</v>
      </c>
      <c r="G9" s="1">
        <f>'PR&amp;M'!K9</f>
        <v>840</v>
      </c>
      <c r="H9" s="1"/>
      <c r="I9" s="1">
        <f>'PR&amp;M'!O9</f>
        <v>201.5</v>
      </c>
      <c r="J9" s="1">
        <f>'PR&amp;M'!P9</f>
        <v>6</v>
      </c>
      <c r="K9" s="1"/>
      <c r="L9" s="1">
        <f>'PR&amp;M'!T9</f>
        <v>554</v>
      </c>
      <c r="M9" s="1">
        <f>'PR&amp;M'!U9</f>
        <v>834</v>
      </c>
      <c r="N9" s="1"/>
      <c r="O9" s="1">
        <f>'PR&amp;M'!W9</f>
        <v>3911</v>
      </c>
      <c r="P9" s="1">
        <f>'PR&amp;M'!X9</f>
        <v>4475</v>
      </c>
    </row>
    <row r="10" spans="1:16" ht="16.2" thickBot="1" x14ac:dyDescent="0.35">
      <c r="A10" s="16"/>
      <c r="B10" s="14"/>
      <c r="C10" s="33">
        <f>SUM(C7:C9)</f>
        <v>41525.53</v>
      </c>
      <c r="D10" s="15">
        <f>SUM(D7:D9)</f>
        <v>42415</v>
      </c>
      <c r="E10" s="1"/>
      <c r="F10" s="33">
        <f>SUM(F7:F9)</f>
        <v>4573.79</v>
      </c>
      <c r="G10" s="15">
        <f>SUM(G7:G9)</f>
        <v>2915</v>
      </c>
      <c r="H10" s="1"/>
      <c r="I10" s="33">
        <f>SUM(I7:I9)</f>
        <v>1695.19</v>
      </c>
      <c r="J10" s="15">
        <f>SUM(J7:J9)</f>
        <v>4806</v>
      </c>
      <c r="K10" s="1"/>
      <c r="L10" s="33">
        <f>SUM(L7:L9)</f>
        <v>4180.03</v>
      </c>
      <c r="M10" s="15">
        <f>SUM(M7:M9)</f>
        <v>2834</v>
      </c>
      <c r="N10" s="1"/>
      <c r="O10" s="15">
        <f>SUM(O7:O9)</f>
        <v>51974.54</v>
      </c>
      <c r="P10" s="15">
        <f>SUM(P7:P9)</f>
        <v>52970</v>
      </c>
    </row>
    <row r="11" spans="1:16" ht="15.6" thickTop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6" x14ac:dyDescent="0.3">
      <c r="A13" s="7" t="s">
        <v>27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5" t="s">
        <v>42</v>
      </c>
      <c r="B14" s="1"/>
      <c r="C14" s="1">
        <f>'F&amp;GP'!E48</f>
        <v>6539.670000000001</v>
      </c>
      <c r="D14" s="1">
        <f>'F&amp;GP'!F48</f>
        <v>7733</v>
      </c>
      <c r="E14" s="1"/>
      <c r="F14" s="1">
        <f>'F&amp;GP'!J48</f>
        <v>4842.1599999999989</v>
      </c>
      <c r="G14" s="1">
        <f>'F&amp;GP'!K48</f>
        <v>5687</v>
      </c>
      <c r="H14" s="1"/>
      <c r="I14" s="1">
        <f>'F&amp;GP'!O48</f>
        <v>5464.369999999999</v>
      </c>
      <c r="J14" s="1">
        <f>'F&amp;GP'!P48</f>
        <v>5463</v>
      </c>
      <c r="K14" s="1"/>
      <c r="L14" s="1">
        <f>'F&amp;GP'!T48</f>
        <v>5863.9299999999994</v>
      </c>
      <c r="M14" s="1">
        <f>'F&amp;GP'!U48</f>
        <v>5262</v>
      </c>
      <c r="N14" s="1"/>
      <c r="O14" s="1">
        <f>'F&amp;GP'!W48</f>
        <v>22710.129999999997</v>
      </c>
      <c r="P14" s="1">
        <f>'F&amp;GP'!X48</f>
        <v>24145</v>
      </c>
    </row>
    <row r="15" spans="1:16" x14ac:dyDescent="0.25">
      <c r="A15" s="5" t="s">
        <v>43</v>
      </c>
      <c r="B15" s="1"/>
      <c r="C15" s="1">
        <f>'H&amp;OS'!E39</f>
        <v>7787.9499999999989</v>
      </c>
      <c r="D15" s="1">
        <f>'H&amp;OS'!F39</f>
        <v>12470</v>
      </c>
      <c r="E15" s="1"/>
      <c r="F15" s="1">
        <f>'H&amp;OS'!J39</f>
        <v>5485.46</v>
      </c>
      <c r="G15" s="1">
        <f>'H&amp;OS'!K39</f>
        <v>9580</v>
      </c>
      <c r="H15" s="1"/>
      <c r="I15" s="1">
        <f>'H&amp;OS'!O39</f>
        <v>7594.62</v>
      </c>
      <c r="J15" s="1">
        <f>'H&amp;OS'!P39</f>
        <v>5200</v>
      </c>
      <c r="K15" s="1"/>
      <c r="L15" s="1">
        <f>'H&amp;OS'!T39</f>
        <v>4879.9399999999996</v>
      </c>
      <c r="M15" s="1">
        <f>'H&amp;OS'!U39</f>
        <v>4100</v>
      </c>
      <c r="N15" s="1"/>
      <c r="O15" s="1">
        <f>'H&amp;OS'!W39</f>
        <v>25747.97</v>
      </c>
      <c r="P15" s="1">
        <f>'H&amp;OS'!X39</f>
        <v>31350</v>
      </c>
    </row>
    <row r="16" spans="1:16" x14ac:dyDescent="0.25">
      <c r="A16" s="5" t="s">
        <v>44</v>
      </c>
      <c r="B16" s="1"/>
      <c r="C16" s="1">
        <f>'PR&amp;M'!E22</f>
        <v>1303.68</v>
      </c>
      <c r="D16" s="1">
        <f>'PR&amp;M'!F22</f>
        <v>1525</v>
      </c>
      <c r="E16" s="1"/>
      <c r="F16" s="1">
        <f>'PR&amp;M'!J22</f>
        <v>1173.24</v>
      </c>
      <c r="G16" s="1">
        <f>'PR&amp;M'!K22</f>
        <v>1525</v>
      </c>
      <c r="H16" s="1"/>
      <c r="I16" s="1">
        <f>'PR&amp;M'!O22</f>
        <v>1417</v>
      </c>
      <c r="J16" s="1">
        <f>'PR&amp;M'!P22</f>
        <v>1525</v>
      </c>
      <c r="K16" s="1"/>
      <c r="L16" s="1">
        <f>'PR&amp;M'!T22</f>
        <v>383.15999999999997</v>
      </c>
      <c r="M16" s="1">
        <f>'PR&amp;M'!U22</f>
        <v>900</v>
      </c>
      <c r="N16" s="1"/>
      <c r="O16" s="1">
        <f>'PR&amp;M'!W22</f>
        <v>4277.08</v>
      </c>
      <c r="P16" s="1">
        <f>'PR&amp;M'!X22</f>
        <v>5475</v>
      </c>
    </row>
    <row r="17" spans="1:16" ht="16.2" thickBot="1" x14ac:dyDescent="0.35">
      <c r="A17" s="16"/>
      <c r="C17" s="33">
        <f>SUM(C14:C16)</f>
        <v>15631.3</v>
      </c>
      <c r="D17" s="15">
        <f>SUM(D14:D16)</f>
        <v>21728</v>
      </c>
      <c r="F17" s="33">
        <f>SUM(F14:F16)</f>
        <v>11500.859999999999</v>
      </c>
      <c r="G17" s="15">
        <f>SUM(G14:G16)</f>
        <v>16792</v>
      </c>
      <c r="I17" s="33">
        <f>SUM(I14:I16)</f>
        <v>14475.989999999998</v>
      </c>
      <c r="J17" s="15">
        <f>SUM(J14:J16)</f>
        <v>12188</v>
      </c>
      <c r="L17" s="33">
        <f>SUM(L14:L16)</f>
        <v>11127.029999999999</v>
      </c>
      <c r="M17" s="15">
        <f>SUM(M14:M16)</f>
        <v>10262</v>
      </c>
      <c r="O17" s="15">
        <f>SUM(O14:O16)</f>
        <v>52735.18</v>
      </c>
      <c r="P17" s="15">
        <f>SUM(P14:P16)</f>
        <v>60970</v>
      </c>
    </row>
    <row r="18" spans="1:16" ht="15.6" thickTop="1" x14ac:dyDescent="0.25"/>
    <row r="20" spans="1:16" x14ac:dyDescent="0.25">
      <c r="M20" s="1"/>
    </row>
    <row r="21" spans="1:16" x14ac:dyDescent="0.25">
      <c r="M21" s="1"/>
    </row>
    <row r="22" spans="1:16" x14ac:dyDescent="0.25">
      <c r="M22" s="1"/>
    </row>
    <row r="23" spans="1:16" x14ac:dyDescent="0.25">
      <c r="L23" s="21"/>
    </row>
    <row r="24" spans="1:16" x14ac:dyDescent="0.25">
      <c r="L24" s="21"/>
      <c r="M24" s="1"/>
    </row>
    <row r="25" spans="1:16" x14ac:dyDescent="0.25">
      <c r="L25" s="21"/>
    </row>
    <row r="26" spans="1:16" x14ac:dyDescent="0.25">
      <c r="M26" s="1"/>
    </row>
  </sheetData>
  <mergeCells count="6">
    <mergeCell ref="L3:M3"/>
    <mergeCell ref="O3:P3"/>
    <mergeCell ref="A1:P1"/>
    <mergeCell ref="C3:D3"/>
    <mergeCell ref="F3:G3"/>
    <mergeCell ref="I3:J3"/>
  </mergeCells>
  <phoneticPr fontId="4" type="noConversion"/>
  <printOptions gridLines="1"/>
  <pageMargins left="0.74803149606299213" right="0.74803149606299213" top="0.98425196850393704" bottom="0.98425196850393704" header="0.51181102362204722" footer="0.51181102362204722"/>
  <pageSetup paperSize="9" scale="7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F&amp;GP</vt:lpstr>
      <vt:lpstr>H&amp;OS</vt:lpstr>
      <vt:lpstr>PR&amp;M</vt:lpstr>
      <vt:lpstr>Council</vt:lpstr>
      <vt:lpstr>Council!Print_Area</vt:lpstr>
      <vt:lpstr>'F&amp;GP'!Print_Area</vt:lpstr>
      <vt:lpstr>'H&amp;OS'!Print_Area</vt:lpstr>
      <vt:lpstr>'PR&amp;M'!Print_Area</vt:lpstr>
    </vt:vector>
  </TitlesOfParts>
  <Company>Caterpillar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Council</cp:lastModifiedBy>
  <cp:lastPrinted>2020-04-08T10:59:40Z</cp:lastPrinted>
  <dcterms:created xsi:type="dcterms:W3CDTF">2009-06-05T07:14:12Z</dcterms:created>
  <dcterms:modified xsi:type="dcterms:W3CDTF">2020-04-08T11:02:18Z</dcterms:modified>
</cp:coreProperties>
</file>